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120" windowWidth="11340" windowHeight="7530" tabRatio="295" activeTab="0"/>
  </bookViews>
  <sheets>
    <sheet name="Notes" sheetId="1" r:id="rId1"/>
    <sheet name="Stable Slope" sheetId="2" r:id="rId2"/>
  </sheets>
  <definedNames/>
  <calcPr fullCalcOnLoad="1"/>
</workbook>
</file>

<file path=xl/sharedStrings.xml><?xml version="1.0" encoding="utf-8"?>
<sst xmlns="http://schemas.openxmlformats.org/spreadsheetml/2006/main" count="421" uniqueCount="261">
  <si>
    <t>β</t>
  </si>
  <si>
    <t>Height of wall</t>
  </si>
  <si>
    <t>H</t>
  </si>
  <si>
    <t>Angle of internal friction</t>
  </si>
  <si>
    <t>Φ</t>
  </si>
  <si>
    <t>Angle of wall friction</t>
  </si>
  <si>
    <t>δ</t>
  </si>
  <si>
    <t>Descriptions</t>
  </si>
  <si>
    <t>symbols</t>
  </si>
  <si>
    <t>Units</t>
  </si>
  <si>
    <t>γ</t>
  </si>
  <si>
    <t>Notes</t>
  </si>
  <si>
    <t>pcf</t>
  </si>
  <si>
    <t>=</t>
  </si>
  <si>
    <t>º</t>
  </si>
  <si>
    <t>+</t>
  </si>
  <si>
    <t>&gt;</t>
  </si>
  <si>
    <t>-</t>
  </si>
  <si>
    <t>Surcharge</t>
  </si>
  <si>
    <t>q</t>
  </si>
  <si>
    <t>Soil density</t>
  </si>
  <si>
    <r>
      <t>K</t>
    </r>
    <r>
      <rPr>
        <sz val="8"/>
        <rFont val="Arial"/>
        <family val="2"/>
      </rPr>
      <t>a</t>
    </r>
  </si>
  <si>
    <t>B</t>
  </si>
  <si>
    <t>ft</t>
  </si>
  <si>
    <r>
      <t>M</t>
    </r>
    <r>
      <rPr>
        <sz val="8"/>
        <rFont val="Arial"/>
        <family val="2"/>
      </rPr>
      <t>o</t>
    </r>
  </si>
  <si>
    <t>ft-lb / ft</t>
  </si>
  <si>
    <t>Weight of Gabion</t>
  </si>
  <si>
    <r>
      <t>W</t>
    </r>
    <r>
      <rPr>
        <sz val="8"/>
        <rFont val="Arial"/>
        <family val="2"/>
      </rPr>
      <t>g</t>
    </r>
  </si>
  <si>
    <t>Gabion density</t>
  </si>
  <si>
    <t>lb / ft</t>
  </si>
  <si>
    <r>
      <t>Horizontal distance to W</t>
    </r>
    <r>
      <rPr>
        <sz val="8"/>
        <rFont val="Arial"/>
        <family val="2"/>
      </rPr>
      <t>g</t>
    </r>
  </si>
  <si>
    <t>d</t>
  </si>
  <si>
    <t>SFo</t>
  </si>
  <si>
    <r>
      <t>SF</t>
    </r>
    <r>
      <rPr>
        <sz val="8"/>
        <rFont val="Arial"/>
        <family val="2"/>
      </rPr>
      <t>s</t>
    </r>
  </si>
  <si>
    <t>Tan Φ</t>
  </si>
  <si>
    <t>e</t>
  </si>
  <si>
    <t>Width of base</t>
  </si>
  <si>
    <t>P</t>
  </si>
  <si>
    <t>psf</t>
  </si>
  <si>
    <t>Wall thickness</t>
  </si>
  <si>
    <t>T</t>
  </si>
  <si>
    <t>Weight of Surcharge</t>
  </si>
  <si>
    <r>
      <t>W</t>
    </r>
    <r>
      <rPr>
        <sz val="8"/>
        <rFont val="Arial"/>
        <family val="2"/>
      </rPr>
      <t>q</t>
    </r>
  </si>
  <si>
    <r>
      <t>Horizontal distance to W</t>
    </r>
    <r>
      <rPr>
        <sz val="8"/>
        <rFont val="Arial"/>
        <family val="2"/>
      </rPr>
      <t>q</t>
    </r>
  </si>
  <si>
    <t>Weight of Reinforced earth</t>
  </si>
  <si>
    <t>Overturning factor of safety</t>
  </si>
  <si>
    <t>Total vertical weight</t>
  </si>
  <si>
    <t>lb/ft</t>
  </si>
  <si>
    <t>Siding factor of safety</t>
  </si>
  <si>
    <t>≤</t>
  </si>
  <si>
    <t>z</t>
  </si>
  <si>
    <t>F</t>
  </si>
  <si>
    <t>Minimun embedment length</t>
  </si>
  <si>
    <t>t</t>
  </si>
  <si>
    <t>h</t>
  </si>
  <si>
    <t>ω</t>
  </si>
  <si>
    <r>
      <t>γ</t>
    </r>
    <r>
      <rPr>
        <sz val="8"/>
        <rFont val="Arial"/>
        <family val="2"/>
      </rPr>
      <t>g</t>
    </r>
  </si>
  <si>
    <t>Sin(δ+Φ)</t>
  </si>
  <si>
    <t>COULOMB'S THEORY</t>
  </si>
  <si>
    <r>
      <t>X</t>
    </r>
    <r>
      <rPr>
        <sz val="8"/>
        <rFont val="Arial"/>
        <family val="2"/>
      </rPr>
      <t>q</t>
    </r>
  </si>
  <si>
    <r>
      <t>X</t>
    </r>
    <r>
      <rPr>
        <sz val="8"/>
        <rFont val="Arial"/>
        <family val="2"/>
      </rPr>
      <t>g</t>
    </r>
  </si>
  <si>
    <t>Width of Surcharge</t>
  </si>
  <si>
    <t>Check Sliding</t>
  </si>
  <si>
    <t>Frictional force</t>
  </si>
  <si>
    <t>Eccentricity</t>
  </si>
  <si>
    <t>+B/6</t>
  </si>
  <si>
    <t>-B/6</t>
  </si>
  <si>
    <t>Check Bearing</t>
  </si>
  <si>
    <t>Tension</t>
  </si>
  <si>
    <t>Vertical pressure at z depth</t>
  </si>
  <si>
    <t>past failure plane</t>
  </si>
  <si>
    <t>D</t>
  </si>
  <si>
    <t>By proportion</t>
  </si>
  <si>
    <r>
      <t>L</t>
    </r>
    <r>
      <rPr>
        <sz val="8"/>
        <rFont val="Arial"/>
        <family val="2"/>
      </rPr>
      <t>min</t>
    </r>
  </si>
  <si>
    <t>Length of embedment past</t>
  </si>
  <si>
    <t>failure plane</t>
  </si>
  <si>
    <t>Applied bearing pressure</t>
  </si>
  <si>
    <r>
      <t>W</t>
    </r>
    <r>
      <rPr>
        <sz val="8"/>
        <rFont val="Arial"/>
        <family val="2"/>
      </rPr>
      <t>re</t>
    </r>
  </si>
  <si>
    <r>
      <t>X</t>
    </r>
    <r>
      <rPr>
        <sz val="8"/>
        <rFont val="Arial"/>
        <family val="2"/>
      </rPr>
      <t>re</t>
    </r>
  </si>
  <si>
    <t>Row</t>
  </si>
  <si>
    <t>Input</t>
  </si>
  <si>
    <t>Values</t>
  </si>
  <si>
    <t>cos(ω-δ)</t>
  </si>
  <si>
    <r>
      <t>Sin (90</t>
    </r>
    <r>
      <rPr>
        <sz val="10"/>
        <rFont val="Arial"/>
        <family val="2"/>
      </rPr>
      <t>º</t>
    </r>
    <r>
      <rPr>
        <sz val="10"/>
        <rFont val="Arial"/>
        <family val="0"/>
      </rPr>
      <t>+ω)</t>
    </r>
  </si>
  <si>
    <r>
      <t>Sin (90</t>
    </r>
    <r>
      <rPr>
        <sz val="10"/>
        <rFont val="Arial"/>
        <family val="2"/>
      </rPr>
      <t>º-</t>
    </r>
    <r>
      <rPr>
        <sz val="10"/>
        <rFont val="Arial"/>
        <family val="0"/>
      </rPr>
      <t>ω-β)</t>
    </r>
  </si>
  <si>
    <r>
      <t>I</t>
    </r>
    <r>
      <rPr>
        <sz val="8"/>
        <rFont val="Arial"/>
        <family val="2"/>
      </rPr>
      <t>q</t>
    </r>
  </si>
  <si>
    <r>
      <t>l</t>
    </r>
    <r>
      <rPr>
        <sz val="8"/>
        <rFont val="Arial"/>
        <family val="2"/>
      </rPr>
      <t>s</t>
    </r>
  </si>
  <si>
    <t>Surcharge slope length</t>
  </si>
  <si>
    <t>H+h</t>
  </si>
  <si>
    <t>(H+h)/2</t>
  </si>
  <si>
    <t>(H+h)/3</t>
  </si>
  <si>
    <r>
      <t>W</t>
    </r>
    <r>
      <rPr>
        <sz val="8"/>
        <rFont val="Arial"/>
        <family val="2"/>
      </rPr>
      <t>bf</t>
    </r>
  </si>
  <si>
    <r>
      <t>X</t>
    </r>
    <r>
      <rPr>
        <sz val="8"/>
        <rFont val="Arial"/>
        <family val="2"/>
      </rPr>
      <t>bf</t>
    </r>
  </si>
  <si>
    <t>∑W</t>
  </si>
  <si>
    <t>(Resultant is in middle one third)</t>
  </si>
  <si>
    <t>σ</t>
  </si>
  <si>
    <r>
      <t>L</t>
    </r>
    <r>
      <rPr>
        <sz val="8"/>
        <rFont val="Arial"/>
        <family val="2"/>
      </rPr>
      <t>pf</t>
    </r>
  </si>
  <si>
    <t>Inclination angle to vertical plane</t>
  </si>
  <si>
    <t>Backfill slope angle above wall</t>
  </si>
  <si>
    <t>1a</t>
  </si>
  <si>
    <t>2a</t>
  </si>
  <si>
    <t>3a</t>
  </si>
  <si>
    <t>Embedment</t>
  </si>
  <si>
    <t>2e</t>
  </si>
  <si>
    <t>Cohesion</t>
  </si>
  <si>
    <t>C</t>
  </si>
  <si>
    <t>Offset</t>
  </si>
  <si>
    <t>o</t>
  </si>
  <si>
    <t>4a</t>
  </si>
  <si>
    <t>Height of backfill above wall</t>
  </si>
  <si>
    <r>
      <t>C</t>
    </r>
    <r>
      <rPr>
        <sz val="8"/>
        <rFont val="Arial"/>
        <family val="2"/>
      </rPr>
      <t>po</t>
    </r>
  </si>
  <si>
    <t>1+</t>
  </si>
  <si>
    <t>²</t>
  </si>
  <si>
    <r>
      <t>K</t>
    </r>
    <r>
      <rPr>
        <sz val="8"/>
        <rFont val="Arial"/>
        <family val="2"/>
      </rPr>
      <t xml:space="preserve">a </t>
    </r>
    <r>
      <rPr>
        <sz val="10"/>
        <rFont val="Arial"/>
        <family val="2"/>
      </rPr>
      <t>q</t>
    </r>
  </si>
  <si>
    <r>
      <t>0.5K</t>
    </r>
    <r>
      <rPr>
        <sz val="8"/>
        <rFont val="Arial"/>
        <family val="2"/>
      </rPr>
      <t>a</t>
    </r>
    <r>
      <rPr>
        <sz val="10"/>
        <rFont val="Arial"/>
        <family val="2"/>
      </rPr>
      <t>γ</t>
    </r>
  </si>
  <si>
    <t>Overturning moment</t>
  </si>
  <si>
    <r>
      <t>H t γ</t>
    </r>
    <r>
      <rPr>
        <sz val="8"/>
        <rFont val="Arial"/>
        <family val="2"/>
      </rPr>
      <t>g</t>
    </r>
  </si>
  <si>
    <t>0.5 H Tan ω</t>
  </si>
  <si>
    <t>(t - o)/2</t>
  </si>
  <si>
    <r>
      <t>l</t>
    </r>
    <r>
      <rPr>
        <sz val="8"/>
        <rFont val="Arial"/>
        <family val="2"/>
      </rPr>
      <t xml:space="preserve">s </t>
    </r>
    <r>
      <rPr>
        <sz val="10"/>
        <rFont val="Arial"/>
        <family val="0"/>
      </rPr>
      <t>Cos β</t>
    </r>
  </si>
  <si>
    <r>
      <t>l</t>
    </r>
    <r>
      <rPr>
        <sz val="8"/>
        <rFont val="Arial"/>
        <family val="2"/>
      </rPr>
      <t xml:space="preserve">s </t>
    </r>
    <r>
      <rPr>
        <sz val="10"/>
        <rFont val="Arial"/>
        <family val="2"/>
      </rPr>
      <t>Sin β</t>
    </r>
  </si>
  <si>
    <r>
      <t>l</t>
    </r>
    <r>
      <rPr>
        <sz val="8"/>
        <rFont val="Arial"/>
        <family val="2"/>
      </rPr>
      <t xml:space="preserve">q </t>
    </r>
    <r>
      <rPr>
        <sz val="10"/>
        <rFont val="Arial"/>
        <family val="2"/>
      </rPr>
      <t>q</t>
    </r>
  </si>
  <si>
    <r>
      <t>- o + 0.5 l</t>
    </r>
    <r>
      <rPr>
        <sz val="8"/>
        <rFont val="Arial"/>
        <family val="2"/>
      </rPr>
      <t>q</t>
    </r>
  </si>
  <si>
    <t>H Tan ω + t</t>
  </si>
  <si>
    <t>(B-t) H γ</t>
  </si>
  <si>
    <t>Sin β γ</t>
  </si>
  <si>
    <t>coefficient</t>
  </si>
  <si>
    <t>Active earth pressure</t>
  </si>
  <si>
    <r>
      <t>∑M</t>
    </r>
    <r>
      <rPr>
        <sz val="8"/>
        <rFont val="Arial"/>
        <family val="2"/>
      </rPr>
      <t>r</t>
    </r>
  </si>
  <si>
    <t xml:space="preserve">Sum  of resisting moments </t>
  </si>
  <si>
    <t>(B+o-t)</t>
  </si>
  <si>
    <t>0.5 B</t>
  </si>
  <si>
    <r>
      <t>( ∑M</t>
    </r>
    <r>
      <rPr>
        <sz val="8"/>
        <rFont val="Arial"/>
        <family val="2"/>
      </rPr>
      <t>r</t>
    </r>
  </si>
  <si>
    <r>
      <t>M</t>
    </r>
    <r>
      <rPr>
        <sz val="8"/>
        <rFont val="Arial"/>
        <family val="2"/>
      </rPr>
      <t>o)</t>
    </r>
  </si>
  <si>
    <t>FS</t>
  </si>
  <si>
    <t>ts</t>
  </si>
  <si>
    <t>diff</t>
  </si>
  <si>
    <t>Soil</t>
  </si>
  <si>
    <t>Thickness</t>
  </si>
  <si>
    <t>Mesh</t>
  </si>
  <si>
    <t>depth</t>
  </si>
  <si>
    <t>Factor of</t>
  </si>
  <si>
    <t>Safety</t>
  </si>
  <si>
    <t>Allowable</t>
  </si>
  <si>
    <t>(ft)</t>
  </si>
  <si>
    <t>(lb/ft)</t>
  </si>
  <si>
    <t>γ z + q</t>
  </si>
  <si>
    <r>
      <t>K</t>
    </r>
    <r>
      <rPr>
        <sz val="8"/>
        <rFont val="Arial"/>
        <family val="2"/>
      </rPr>
      <t xml:space="preserve">a </t>
    </r>
    <r>
      <rPr>
        <sz val="10"/>
        <rFont val="Arial"/>
        <family val="2"/>
      </rPr>
      <t>t</t>
    </r>
    <r>
      <rPr>
        <sz val="8"/>
        <rFont val="Arial"/>
        <family val="2"/>
      </rPr>
      <t xml:space="preserve">s </t>
    </r>
    <r>
      <rPr>
        <sz val="10"/>
        <rFont val="Arial"/>
        <family val="2"/>
      </rPr>
      <t>σ</t>
    </r>
  </si>
  <si>
    <t>= Ka ts(γ z + q)</t>
  </si>
  <si>
    <t>#</t>
  </si>
  <si>
    <t>5a</t>
  </si>
  <si>
    <t>6a</t>
  </si>
  <si>
    <t>7a</t>
  </si>
  <si>
    <t>Lpf</t>
  </si>
  <si>
    <t>Lmin</t>
  </si>
  <si>
    <t>to failure plane at top of wall</t>
  </si>
  <si>
    <t>Horizontal distance from</t>
  </si>
  <si>
    <t>HTan ω</t>
  </si>
  <si>
    <t>HTan(45-Φ/2)      -</t>
  </si>
  <si>
    <t>B-t</t>
  </si>
  <si>
    <t>Mesh-Soil interaction</t>
  </si>
  <si>
    <t>Sfpo T</t>
  </si>
  <si>
    <r>
      <t>C</t>
    </r>
    <r>
      <rPr>
        <sz val="8"/>
        <rFont val="Arial"/>
        <family val="2"/>
      </rPr>
      <t xml:space="preserve">po </t>
    </r>
    <r>
      <rPr>
        <sz val="10"/>
        <rFont val="Arial"/>
        <family val="0"/>
      </rPr>
      <t>σ</t>
    </r>
  </si>
  <si>
    <r>
      <t>C</t>
    </r>
    <r>
      <rPr>
        <sz val="8"/>
        <rFont val="Arial"/>
        <family val="2"/>
      </rPr>
      <t xml:space="preserve">po( </t>
    </r>
    <r>
      <rPr>
        <sz val="10"/>
        <rFont val="Arial"/>
        <family val="2"/>
      </rPr>
      <t>γz+q)</t>
    </r>
  </si>
  <si>
    <t>Pull-out Safety Factor</t>
  </si>
  <si>
    <r>
      <t>Sf</t>
    </r>
    <r>
      <rPr>
        <sz val="8"/>
        <rFont val="Arial"/>
        <family val="2"/>
      </rPr>
      <t>po</t>
    </r>
  </si>
  <si>
    <t>(Add)</t>
  </si>
  <si>
    <t>8a</t>
  </si>
  <si>
    <t>9a</t>
  </si>
  <si>
    <t>Horizontal active soil thrust</t>
  </si>
  <si>
    <t>Horizontal active surcharge</t>
  </si>
  <si>
    <t>thrust</t>
  </si>
  <si>
    <r>
      <t>P</t>
    </r>
    <r>
      <rPr>
        <sz val="8"/>
        <rFont val="Arial"/>
        <family val="2"/>
      </rPr>
      <t>hs</t>
    </r>
  </si>
  <si>
    <r>
      <t>P</t>
    </r>
    <r>
      <rPr>
        <sz val="8"/>
        <rFont val="Arial"/>
        <family val="2"/>
      </rPr>
      <t>hq</t>
    </r>
  </si>
  <si>
    <t>Cos(δ- ω)</t>
  </si>
  <si>
    <t>Total horizontal thrust</t>
  </si>
  <si>
    <r>
      <t>P</t>
    </r>
    <r>
      <rPr>
        <sz val="8"/>
        <rFont val="Arial"/>
        <family val="2"/>
      </rPr>
      <t>ha</t>
    </r>
  </si>
  <si>
    <r>
      <t>P</t>
    </r>
    <r>
      <rPr>
        <sz val="8"/>
        <rFont val="Arial"/>
        <family val="2"/>
      </rPr>
      <t xml:space="preserve">hs + </t>
    </r>
    <r>
      <rPr>
        <sz val="10"/>
        <rFont val="Arial"/>
        <family val="2"/>
      </rPr>
      <t>P</t>
    </r>
    <r>
      <rPr>
        <sz val="8"/>
        <rFont val="Arial"/>
        <family val="2"/>
      </rPr>
      <t>hq</t>
    </r>
  </si>
  <si>
    <t>0.5(H Tan ω+B-t) + t</t>
  </si>
  <si>
    <r>
      <t>0.5  l</t>
    </r>
    <r>
      <rPr>
        <sz val="8"/>
        <rFont val="Arial"/>
        <family val="2"/>
      </rPr>
      <t xml:space="preserve">s </t>
    </r>
    <r>
      <rPr>
        <sz val="10"/>
        <rFont val="Arial"/>
        <family val="2"/>
      </rPr>
      <t>(B-t+o)</t>
    </r>
    <r>
      <rPr>
        <sz val="8"/>
        <rFont val="Arial"/>
        <family val="2"/>
      </rPr>
      <t xml:space="preserve"> </t>
    </r>
  </si>
  <si>
    <t xml:space="preserve">(Backfill above wall not considered </t>
  </si>
  <si>
    <t>for z depth to simplify calculations)</t>
  </si>
  <si>
    <t>D(H-z)/H</t>
  </si>
  <si>
    <t>inside outline of the gabion  to</t>
  </si>
  <si>
    <t>s</t>
  </si>
  <si>
    <t>Horizontal length of slope</t>
  </si>
  <si>
    <r>
      <t>β</t>
    </r>
    <r>
      <rPr>
        <sz val="8"/>
        <rFont val="Arial"/>
        <family val="2"/>
      </rPr>
      <t>1</t>
    </r>
  </si>
  <si>
    <r>
      <t>β</t>
    </r>
    <r>
      <rPr>
        <sz val="8"/>
        <rFont val="Arial"/>
        <family val="2"/>
      </rPr>
      <t>2</t>
    </r>
  </si>
  <si>
    <r>
      <t>(H+h</t>
    </r>
    <r>
      <rPr>
        <sz val="14"/>
        <rFont val="Arial"/>
        <family val="2"/>
      </rPr>
      <t>)²</t>
    </r>
  </si>
  <si>
    <r>
      <t>Cos</t>
    </r>
    <r>
      <rPr>
        <sz val="14"/>
        <rFont val="Arial"/>
        <family val="2"/>
      </rPr>
      <t>²</t>
    </r>
    <r>
      <rPr>
        <sz val="10"/>
        <rFont val="Arial"/>
        <family val="0"/>
      </rPr>
      <t>(Φ+ω)</t>
    </r>
  </si>
  <si>
    <r>
      <t>Cos</t>
    </r>
    <r>
      <rPr>
        <sz val="14"/>
        <rFont val="Arial"/>
        <family val="2"/>
      </rPr>
      <t>²</t>
    </r>
    <r>
      <rPr>
        <sz val="10"/>
        <rFont val="Arial"/>
        <family val="0"/>
      </rPr>
      <t xml:space="preserve"> ω</t>
    </r>
  </si>
  <si>
    <t>Ignore vertical components &amp; cohesion</t>
  </si>
  <si>
    <r>
      <t>Tanβ2</t>
    </r>
    <r>
      <rPr>
        <sz val="10"/>
        <rFont val="Arial"/>
        <family val="2"/>
      </rPr>
      <t>=(sTanβ1)/2H</t>
    </r>
  </si>
  <si>
    <t>Check Overturning:</t>
  </si>
  <si>
    <r>
      <t>Horizontal distance to W</t>
    </r>
    <r>
      <rPr>
        <sz val="8"/>
        <rFont val="Arial"/>
        <family val="2"/>
      </rPr>
      <t>re</t>
    </r>
  </si>
  <si>
    <r>
      <t>Horizontal distance to W</t>
    </r>
    <r>
      <rPr>
        <sz val="8"/>
        <rFont val="Arial"/>
        <family val="2"/>
      </rPr>
      <t>bf</t>
    </r>
  </si>
  <si>
    <t>Weight of backfill above wall</t>
  </si>
  <si>
    <t>Check the Eccentricity of Resultant Force</t>
  </si>
  <si>
    <t>Check Mesh Tension</t>
  </si>
  <si>
    <t>Trial # 1:</t>
  </si>
  <si>
    <t>a</t>
  </si>
  <si>
    <t>Trial # 2: insert grids</t>
  </si>
  <si>
    <t>b</t>
  </si>
  <si>
    <t>Check Pull Out</t>
  </si>
  <si>
    <t>Successful</t>
  </si>
  <si>
    <r>
      <t>Sin(Φ-β</t>
    </r>
    <r>
      <rPr>
        <sz val="10"/>
        <rFont val="Arial"/>
        <family val="0"/>
      </rPr>
      <t>)</t>
    </r>
  </si>
  <si>
    <r>
      <t>cos(ω+β</t>
    </r>
    <r>
      <rPr>
        <sz val="10"/>
        <rFont val="Arial"/>
        <family val="0"/>
      </rPr>
      <t>)</t>
    </r>
  </si>
  <si>
    <t>Reduced backfill slope angle</t>
  </si>
  <si>
    <t>Backfill slope angle used</t>
  </si>
  <si>
    <r>
      <t>for K</t>
    </r>
    <r>
      <rPr>
        <sz val="8"/>
        <rFont val="Arial"/>
        <family val="2"/>
      </rPr>
      <t>a</t>
    </r>
    <r>
      <rPr>
        <sz val="10"/>
        <rFont val="Arial"/>
        <family val="2"/>
      </rPr>
      <t xml:space="preserve"> calculations below</t>
    </r>
  </si>
  <si>
    <t>Stable Slope Calculations</t>
  </si>
  <si>
    <t>PROJECT #:</t>
  </si>
  <si>
    <t>PROJECT NAME:</t>
  </si>
  <si>
    <t>LOCATION:</t>
  </si>
  <si>
    <t>SECTION:</t>
  </si>
  <si>
    <t>GEOTECHNICAL ENGINEER:</t>
  </si>
  <si>
    <t>DATE:</t>
  </si>
  <si>
    <t>REPORT #:</t>
  </si>
  <si>
    <t>NOTES:</t>
  </si>
  <si>
    <t>DRAWING #:</t>
  </si>
  <si>
    <t>Allowable soil bearing capacity</t>
  </si>
  <si>
    <r>
      <t>q</t>
    </r>
    <r>
      <rPr>
        <sz val="8"/>
        <rFont val="Arial"/>
        <family val="2"/>
      </rPr>
      <t>a</t>
    </r>
  </si>
  <si>
    <t>to be determined by Geotechnical Engineer</t>
  </si>
  <si>
    <t xml:space="preserve">(Meyerhof) </t>
  </si>
  <si>
    <t>ignore cohesion</t>
  </si>
  <si>
    <t xml:space="preserve"> 1415 N 32nd, Fort Smith, AR 72904</t>
  </si>
  <si>
    <t>Ph: 800-736-9089 Fax:479-785-0633</t>
  </si>
  <si>
    <t>To: Engineers:</t>
  </si>
  <si>
    <t>Additional calculations may have to be performed including and not limiting to global stability</t>
  </si>
  <si>
    <t>analysis (by Geotechnical Engineer), seismic forces (by Seismic Engineer) and hydraulic forces</t>
  </si>
  <si>
    <r>
      <t xml:space="preserve">(by Hydraulic Engineer). </t>
    </r>
    <r>
      <rPr>
        <sz val="10"/>
        <rFont val="Arial"/>
        <family val="2"/>
      </rPr>
      <t>Please check local, State and Federal requirements. The calculator assumes</t>
    </r>
  </si>
  <si>
    <t>Please do not hesitate to contact us if you have any questions or if you are in need of any assistance.</t>
  </si>
  <si>
    <t>We will assist you in anyway we can.</t>
  </si>
  <si>
    <t>Colin Glass</t>
  </si>
  <si>
    <t>Terra Aqua Gabions</t>
  </si>
  <si>
    <t>design analysis for verification.</t>
  </si>
  <si>
    <t>assistance to the engineer for the purpose of designing with Terra Aqua products.</t>
  </si>
  <si>
    <t>drained uniformed retained, reinforced and foundation soil properties. The calculations should be</t>
  </si>
  <si>
    <t>reviewed, checked and certified by a Professional Engineer. To the best of our knowledge, the calculator</t>
  </si>
  <si>
    <t>the geotechnical parameters assumed in the calculations. The calculator is intended to provide design</t>
  </si>
  <si>
    <t>and information was prepared accurately. Terra Aqua is not responsible for the reliability and validity of</t>
  </si>
  <si>
    <t>Thank you very much for your interest in our products and solutions. The purpose of this calculator is</t>
  </si>
  <si>
    <t>the familiar Excel environment to illustrate each step of the calculations used in the Stable Slope System</t>
  </si>
  <si>
    <t xml:space="preserve">Additional calculations may have to be performed including and not limiting to global stability analysis (by Geotechnical </t>
  </si>
  <si>
    <r>
      <t>Engineer), seismic forces (by Seismic Engineer) and hydraulic forces (by Hydraulic Engineer).</t>
    </r>
    <r>
      <rPr>
        <sz val="10"/>
        <rFont val="Arial"/>
        <family val="2"/>
      </rPr>
      <t xml:space="preserve"> Please check local, State</t>
    </r>
  </si>
  <si>
    <t>and Federal requirements.The calculator assumes drained uniformed retained, reinforced and foundation soil properties. The</t>
  </si>
  <si>
    <t>calculations should be reviewed, checked and certified by a Professional Engineer. To the best of our knowledge, the calculator</t>
  </si>
  <si>
    <t>and information was prepared accurately. Terra Aqua is not responsible for the reliability and validity of the geotechnical</t>
  </si>
  <si>
    <t>of designing with Terra Aqua products.</t>
  </si>
  <si>
    <t>parameters assumed in the calculations. The calculator is intended to provide design assistance to the engineer for the purpose</t>
  </si>
  <si>
    <t xml:space="preserve">           </t>
  </si>
  <si>
    <t xml:space="preserve">        </t>
  </si>
  <si>
    <t>to show the simplicity and ease of designing Terra Aqua Gabions Stable Slope Systems. We are using</t>
  </si>
  <si>
    <t>TERRA AQUA GABIONS STABLE SLOPE SYSTEM</t>
  </si>
  <si>
    <t>multiple of 3</t>
  </si>
  <si>
    <t>Htanω + t - o + 2(0.5htanω + B +o - t)/3</t>
  </si>
  <si>
    <t xml:space="preserve">Past Failure </t>
  </si>
  <si>
    <t xml:space="preserve">Minimum </t>
  </si>
  <si>
    <r>
      <t>W</t>
    </r>
    <r>
      <rPr>
        <sz val="8"/>
        <rFont val="Arial"/>
        <family val="2"/>
      </rPr>
      <t xml:space="preserve">g </t>
    </r>
    <r>
      <rPr>
        <sz val="10"/>
        <rFont val="Arial"/>
        <family val="2"/>
      </rPr>
      <t>+ W</t>
    </r>
    <r>
      <rPr>
        <sz val="8"/>
        <rFont val="Arial"/>
        <family val="2"/>
      </rPr>
      <t xml:space="preserve">q </t>
    </r>
    <r>
      <rPr>
        <sz val="10"/>
        <rFont val="Arial"/>
        <family val="2"/>
      </rPr>
      <t>+ W</t>
    </r>
    <r>
      <rPr>
        <sz val="8"/>
        <rFont val="Arial"/>
        <family val="2"/>
      </rPr>
      <t xml:space="preserve">re </t>
    </r>
    <r>
      <rPr>
        <sz val="10"/>
        <rFont val="Arial"/>
        <family val="2"/>
      </rPr>
      <t>+ W</t>
    </r>
    <r>
      <rPr>
        <sz val="8"/>
        <rFont val="Arial"/>
        <family val="2"/>
      </rPr>
      <t>bf</t>
    </r>
  </si>
  <si>
    <r>
      <t>W</t>
    </r>
    <r>
      <rPr>
        <sz val="8"/>
        <rFont val="Arial"/>
        <family val="2"/>
      </rPr>
      <t xml:space="preserve">g  </t>
    </r>
    <r>
      <rPr>
        <sz val="10"/>
        <rFont val="Arial"/>
        <family val="2"/>
      </rPr>
      <t>X</t>
    </r>
    <r>
      <rPr>
        <sz val="8"/>
        <rFont val="Arial"/>
        <family val="2"/>
      </rPr>
      <t xml:space="preserve">g  </t>
    </r>
    <r>
      <rPr>
        <sz val="10"/>
        <rFont val="Arial"/>
        <family val="2"/>
      </rPr>
      <t>+  W</t>
    </r>
    <r>
      <rPr>
        <sz val="8"/>
        <rFont val="Arial"/>
        <family val="2"/>
      </rPr>
      <t>q</t>
    </r>
    <r>
      <rPr>
        <sz val="10"/>
        <rFont val="Arial"/>
        <family val="2"/>
      </rPr>
      <t xml:space="preserve"> X</t>
    </r>
    <r>
      <rPr>
        <sz val="8"/>
        <rFont val="Arial"/>
        <family val="2"/>
      </rPr>
      <t xml:space="preserve">q  </t>
    </r>
    <r>
      <rPr>
        <sz val="10"/>
        <rFont val="Arial"/>
        <family val="2"/>
      </rPr>
      <t>+  W</t>
    </r>
    <r>
      <rPr>
        <sz val="8"/>
        <rFont val="Arial"/>
        <family val="2"/>
      </rPr>
      <t>re</t>
    </r>
    <r>
      <rPr>
        <sz val="10"/>
        <rFont val="Arial"/>
        <family val="2"/>
      </rPr>
      <t xml:space="preserve"> X</t>
    </r>
    <r>
      <rPr>
        <sz val="8"/>
        <rFont val="Arial"/>
        <family val="2"/>
      </rPr>
      <t xml:space="preserve">re  </t>
    </r>
    <r>
      <rPr>
        <sz val="10"/>
        <rFont val="Arial"/>
        <family val="2"/>
      </rPr>
      <t>+ W</t>
    </r>
    <r>
      <rPr>
        <sz val="8"/>
        <rFont val="Arial"/>
        <family val="2"/>
      </rPr>
      <t xml:space="preserve">bf </t>
    </r>
    <r>
      <rPr>
        <sz val="10"/>
        <rFont val="Arial"/>
        <family val="2"/>
      </rPr>
      <t>X</t>
    </r>
    <r>
      <rPr>
        <sz val="8"/>
        <rFont val="Arial"/>
        <family val="2"/>
      </rPr>
      <t xml:space="preserve">bf </t>
    </r>
  </si>
  <si>
    <r>
      <t>psf (Allowable soil bearing q</t>
    </r>
    <r>
      <rPr>
        <sz val="8"/>
        <rFont val="Arial"/>
        <family val="2"/>
      </rPr>
      <t>a)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</si>
</sst>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  <numFmt numFmtId="171" formatCode="[$-409]dddd\,\ mmmm\ dd\,\ yyyy"/>
    <numFmt numFmtId="172" formatCode="0.00000"/>
    <numFmt numFmtId="173" formatCode="[$-409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11" xfId="0" applyNumberFormat="1" applyFill="1" applyBorder="1" applyAlignment="1" applyProtection="1">
      <alignment horizontal="center"/>
      <protection hidden="1"/>
    </xf>
    <xf numFmtId="164" fontId="0" fillId="0" borderId="12" xfId="0" applyNumberFormat="1" applyFill="1" applyBorder="1" applyAlignment="1" applyProtection="1">
      <alignment horizontal="center"/>
      <protection hidden="1"/>
    </xf>
    <xf numFmtId="164" fontId="0" fillId="0" borderId="10" xfId="0" applyNumberFormat="1" applyFont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164" fontId="0" fillId="33" borderId="0" xfId="0" applyNumberFormat="1" applyFill="1" applyBorder="1" applyAlignment="1" applyProtection="1">
      <alignment horizontal="center"/>
      <protection hidden="1"/>
    </xf>
    <xf numFmtId="164" fontId="0" fillId="33" borderId="0" xfId="0" applyNumberFormat="1" applyFill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164" fontId="0" fillId="34" borderId="0" xfId="0" applyNumberFormat="1" applyFill="1" applyAlignment="1">
      <alignment horizontal="center"/>
    </xf>
    <xf numFmtId="2" fontId="0" fillId="34" borderId="10" xfId="0" applyNumberFormat="1" applyFont="1" applyFill="1" applyBorder="1" applyAlignment="1">
      <alignment horizontal="left"/>
    </xf>
    <xf numFmtId="2" fontId="0" fillId="34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8</xdr:col>
      <xdr:colOff>361950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7700"/>
          <a:ext cx="2190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79</xdr:row>
      <xdr:rowOff>38100</xdr:rowOff>
    </xdr:from>
    <xdr:to>
      <xdr:col>8</xdr:col>
      <xdr:colOff>552450</xdr:colOff>
      <xdr:row>80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4524375" y="13163550"/>
          <a:ext cx="38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80</xdr:row>
      <xdr:rowOff>47625</xdr:rowOff>
    </xdr:from>
    <xdr:to>
      <xdr:col>8</xdr:col>
      <xdr:colOff>504825</xdr:colOff>
      <xdr:row>80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4486275" y="134016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79</xdr:row>
      <xdr:rowOff>28575</xdr:rowOff>
    </xdr:from>
    <xdr:to>
      <xdr:col>10</xdr:col>
      <xdr:colOff>552450</xdr:colOff>
      <xdr:row>79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62475" y="13154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83</xdr:row>
      <xdr:rowOff>38100</xdr:rowOff>
    </xdr:from>
    <xdr:to>
      <xdr:col>8</xdr:col>
      <xdr:colOff>552450</xdr:colOff>
      <xdr:row>84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4524375" y="13877925"/>
          <a:ext cx="38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84</xdr:row>
      <xdr:rowOff>47625</xdr:rowOff>
    </xdr:from>
    <xdr:to>
      <xdr:col>8</xdr:col>
      <xdr:colOff>504825</xdr:colOff>
      <xdr:row>84</xdr:row>
      <xdr:rowOff>123825</xdr:rowOff>
    </xdr:to>
    <xdr:sp>
      <xdr:nvSpPr>
        <xdr:cNvPr id="5" name="Line 5"/>
        <xdr:cNvSpPr>
          <a:spLocks/>
        </xdr:cNvSpPr>
      </xdr:nvSpPr>
      <xdr:spPr>
        <a:xfrm flipH="1" flipV="1">
          <a:off x="4486275" y="141160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83</xdr:row>
      <xdr:rowOff>28575</xdr:rowOff>
    </xdr:from>
    <xdr:to>
      <xdr:col>10</xdr:col>
      <xdr:colOff>552450</xdr:colOff>
      <xdr:row>83</xdr:row>
      <xdr:rowOff>28575</xdr:rowOff>
    </xdr:to>
    <xdr:sp>
      <xdr:nvSpPr>
        <xdr:cNvPr id="6" name="Line 6"/>
        <xdr:cNvSpPr>
          <a:spLocks/>
        </xdr:cNvSpPr>
      </xdr:nvSpPr>
      <xdr:spPr>
        <a:xfrm>
          <a:off x="4562475" y="13868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238125</xdr:colOff>
      <xdr:row>29</xdr:row>
      <xdr:rowOff>38100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67818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showGridLines="0" showRowColHeaders="0" tabSelected="1" zoomScale="130" zoomScaleNormal="130" zoomScalePageLayoutView="0" workbookViewId="0" topLeftCell="A7">
      <selection activeCell="J7" sqref="J7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9.140625" style="0" bestFit="1" customWidth="1"/>
    <col min="4" max="4" width="7.140625" style="0" customWidth="1"/>
    <col min="12" max="12" width="6.7109375" style="0" customWidth="1"/>
    <col min="13" max="13" width="6.421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73"/>
      <c r="C2" s="5"/>
      <c r="D2" s="5"/>
      <c r="E2" s="5"/>
      <c r="F2" s="5"/>
      <c r="G2" s="5"/>
      <c r="H2" s="5"/>
      <c r="I2" s="5"/>
      <c r="J2" s="5"/>
      <c r="K2" s="5"/>
      <c r="L2" s="5"/>
      <c r="M2" s="74"/>
    </row>
    <row r="3" spans="2:13" ht="12.75">
      <c r="B3" s="75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2:13" ht="12.75">
      <c r="B4" s="75"/>
      <c r="M4" s="3"/>
    </row>
    <row r="5" spans="2:13" ht="12.75">
      <c r="B5" s="75"/>
      <c r="M5" s="3"/>
    </row>
    <row r="6" spans="2:13" ht="12.75">
      <c r="B6" s="75"/>
      <c r="M6" s="3"/>
    </row>
    <row r="7" spans="2:13" ht="12.75">
      <c r="B7" s="75"/>
      <c r="M7" s="3"/>
    </row>
    <row r="8" spans="2:13" ht="12.75">
      <c r="B8" s="75"/>
      <c r="M8" s="3"/>
    </row>
    <row r="9" spans="2:13" ht="12.75">
      <c r="B9" s="75"/>
      <c r="M9" s="3"/>
    </row>
    <row r="10" spans="2:13" ht="12.75">
      <c r="B10" s="75"/>
      <c r="M10" s="3"/>
    </row>
    <row r="11" spans="2:13" ht="12.75">
      <c r="B11" s="75"/>
      <c r="M11" s="3"/>
    </row>
    <row r="12" spans="2:13" ht="12.75">
      <c r="B12" s="75"/>
      <c r="F12" t="s">
        <v>225</v>
      </c>
      <c r="M12" s="3"/>
    </row>
    <row r="13" spans="2:13" ht="12.75">
      <c r="B13" s="75"/>
      <c r="F13" t="s">
        <v>226</v>
      </c>
      <c r="M13" s="3"/>
    </row>
    <row r="14" spans="2:13" ht="12.75">
      <c r="B14" s="75"/>
      <c r="M14" s="3"/>
    </row>
    <row r="15" spans="2:13" ht="12.75">
      <c r="B15" s="75"/>
      <c r="M15" s="3"/>
    </row>
    <row r="16" spans="2:13" ht="12.75">
      <c r="B16" s="75"/>
      <c r="C16" s="76"/>
      <c r="M16" s="3"/>
    </row>
    <row r="17" spans="2:13" ht="12.75">
      <c r="B17" s="75"/>
      <c r="C17" s="76" t="s">
        <v>227</v>
      </c>
      <c r="M17" s="3"/>
    </row>
    <row r="18" spans="2:13" ht="12.75">
      <c r="B18" s="75"/>
      <c r="C18" s="76"/>
      <c r="M18" s="3"/>
    </row>
    <row r="19" spans="2:13" ht="12.75">
      <c r="B19" s="75"/>
      <c r="C19" s="76" t="s">
        <v>241</v>
      </c>
      <c r="M19" s="3"/>
    </row>
    <row r="20" spans="2:13" ht="12.75">
      <c r="B20" s="75"/>
      <c r="C20" s="76" t="s">
        <v>252</v>
      </c>
      <c r="M20" s="3"/>
    </row>
    <row r="21" spans="2:13" ht="12.75">
      <c r="B21" s="75"/>
      <c r="C21" s="76" t="s">
        <v>242</v>
      </c>
      <c r="M21" s="3"/>
    </row>
    <row r="22" spans="2:13" ht="12.75">
      <c r="B22" s="75"/>
      <c r="C22" s="76" t="s">
        <v>235</v>
      </c>
      <c r="M22" s="3"/>
    </row>
    <row r="23" spans="2:13" ht="12.75">
      <c r="B23" s="75"/>
      <c r="C23" s="76"/>
      <c r="M23" s="3"/>
    </row>
    <row r="24" spans="2:13" ht="12.75">
      <c r="B24" s="75"/>
      <c r="C24" s="11" t="s">
        <v>228</v>
      </c>
      <c r="M24" s="3"/>
    </row>
    <row r="25" spans="2:13" ht="12.75">
      <c r="B25" s="75"/>
      <c r="C25" s="11" t="s">
        <v>229</v>
      </c>
      <c r="M25" s="3"/>
    </row>
    <row r="26" spans="2:13" ht="12.75">
      <c r="B26" s="75"/>
      <c r="C26" s="11" t="s">
        <v>230</v>
      </c>
      <c r="M26" s="3"/>
    </row>
    <row r="27" spans="2:13" ht="12.75">
      <c r="B27" s="75"/>
      <c r="C27" s="76" t="s">
        <v>237</v>
      </c>
      <c r="M27" s="3"/>
    </row>
    <row r="28" spans="2:13" ht="12.75">
      <c r="B28" s="75"/>
      <c r="C28" s="76" t="s">
        <v>238</v>
      </c>
      <c r="M28" s="3"/>
    </row>
    <row r="29" spans="2:13" ht="12.75">
      <c r="B29" s="75"/>
      <c r="C29" s="76" t="s">
        <v>240</v>
      </c>
      <c r="M29" s="3"/>
    </row>
    <row r="30" spans="2:13" ht="12.75">
      <c r="B30" s="75"/>
      <c r="C30" s="76" t="s">
        <v>239</v>
      </c>
      <c r="M30" s="3"/>
    </row>
    <row r="31" spans="2:13" ht="12.75">
      <c r="B31" s="75"/>
      <c r="C31" s="76" t="s">
        <v>236</v>
      </c>
      <c r="M31" s="3"/>
    </row>
    <row r="32" spans="2:14" ht="12.75">
      <c r="B32" s="75"/>
      <c r="C32" s="76"/>
      <c r="M32" s="3"/>
      <c r="N32" t="s">
        <v>250</v>
      </c>
    </row>
    <row r="33" spans="2:13" ht="12.75">
      <c r="B33" s="75"/>
      <c r="C33" s="76" t="s">
        <v>231</v>
      </c>
      <c r="M33" s="3"/>
    </row>
    <row r="34" spans="2:13" ht="12.75">
      <c r="B34" s="75"/>
      <c r="C34" s="76" t="s">
        <v>232</v>
      </c>
      <c r="M34" s="3"/>
    </row>
    <row r="35" spans="2:13" ht="12.75">
      <c r="B35" s="75"/>
      <c r="C35" s="76"/>
      <c r="M35" s="3"/>
    </row>
    <row r="36" spans="2:13" ht="12.75">
      <c r="B36" s="75"/>
      <c r="C36" s="76"/>
      <c r="M36" s="3"/>
    </row>
    <row r="37" spans="2:13" ht="12.75">
      <c r="B37" s="75"/>
      <c r="C37" s="76"/>
      <c r="M37" s="3"/>
    </row>
    <row r="38" spans="2:13" ht="12.75">
      <c r="B38" s="75"/>
      <c r="C38" s="76"/>
      <c r="M38" s="3"/>
    </row>
    <row r="39" spans="2:13" ht="12.75">
      <c r="B39" s="75"/>
      <c r="C39" s="76"/>
      <c r="M39" s="3"/>
    </row>
    <row r="40" spans="2:13" ht="12.75">
      <c r="B40" s="75"/>
      <c r="C40" s="76"/>
      <c r="M40" s="3"/>
    </row>
    <row r="41" spans="2:13" ht="12.75">
      <c r="B41" s="75"/>
      <c r="C41" s="76"/>
      <c r="M41" s="3"/>
    </row>
    <row r="42" spans="2:13" ht="12.75">
      <c r="B42" s="75"/>
      <c r="C42" s="76" t="s">
        <v>233</v>
      </c>
      <c r="M42" s="3"/>
    </row>
    <row r="43" spans="2:13" ht="12.75">
      <c r="B43" s="75"/>
      <c r="C43" s="76"/>
      <c r="M43" s="3"/>
    </row>
    <row r="44" spans="2:13" ht="12.75">
      <c r="B44" s="75"/>
      <c r="C44" s="76" t="s">
        <v>234</v>
      </c>
      <c r="M44" s="3"/>
    </row>
    <row r="45" spans="2:13" ht="12.75">
      <c r="B45" s="75"/>
      <c r="C45" s="76"/>
      <c r="M45" s="3"/>
    </row>
    <row r="46" spans="2:13" ht="12.75">
      <c r="B46" s="75"/>
      <c r="C46" s="77">
        <v>39232</v>
      </c>
      <c r="M46" s="3"/>
    </row>
    <row r="47" spans="2:13" ht="12.75">
      <c r="B47" s="75"/>
      <c r="C47" s="77"/>
      <c r="M47" s="3"/>
    </row>
    <row r="48" spans="2:13" ht="12.75">
      <c r="B48" s="75"/>
      <c r="C48" s="77"/>
      <c r="M48" s="3"/>
    </row>
    <row r="49" spans="2:13" ht="12.75">
      <c r="B49" s="75"/>
      <c r="C49" s="77"/>
      <c r="M49" s="3"/>
    </row>
    <row r="50" spans="2:13" ht="12.75">
      <c r="B50" s="75"/>
      <c r="C50" s="77"/>
      <c r="M50" s="3"/>
    </row>
    <row r="51" spans="2:13" ht="12.75">
      <c r="B51" s="75"/>
      <c r="C51" s="77"/>
      <c r="M51" s="3"/>
    </row>
    <row r="52" spans="2:13" ht="12.75">
      <c r="B52" s="75"/>
      <c r="C52" s="77"/>
      <c r="M52" s="3"/>
    </row>
    <row r="53" spans="2:13" ht="12.75">
      <c r="B53" s="78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</row>
  </sheetData>
  <sheetProtection password="CB47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2"/>
  <sheetViews>
    <sheetView showGridLines="0" showRowColHeaders="0" zoomScalePageLayoutView="0" workbookViewId="0" topLeftCell="A1">
      <selection activeCell="I202" sqref="I202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3" width="8.421875" style="0" customWidth="1"/>
    <col min="4" max="4" width="8.140625" style="0" customWidth="1"/>
    <col min="5" max="5" width="4.140625" style="0" customWidth="1"/>
    <col min="6" max="6" width="2.57421875" style="0" customWidth="1"/>
    <col min="7" max="7" width="17.28125" style="0" customWidth="1"/>
    <col min="8" max="8" width="9.7109375" style="0" customWidth="1"/>
    <col min="9" max="9" width="11.28125" style="0" customWidth="1"/>
    <col min="10" max="10" width="9.8515625" style="0" customWidth="1"/>
    <col min="11" max="11" width="11.7109375" style="0" customWidth="1"/>
    <col min="12" max="12" width="5.140625" style="0" customWidth="1"/>
    <col min="13" max="13" width="9.28125" style="0" customWidth="1"/>
  </cols>
  <sheetData>
    <row r="1" ht="26.25">
      <c r="B1" s="80" t="s">
        <v>253</v>
      </c>
    </row>
    <row r="31" ht="20.25">
      <c r="B31" s="51" t="s">
        <v>210</v>
      </c>
    </row>
    <row r="32" spans="2:11" ht="12.75" customHeight="1">
      <c r="B32" s="11"/>
      <c r="K32" s="23"/>
    </row>
    <row r="33" spans="2:13" ht="12.75" customHeight="1">
      <c r="B33" s="11" t="s">
        <v>212</v>
      </c>
      <c r="F33" s="82"/>
      <c r="G33" s="82"/>
      <c r="H33" s="82"/>
      <c r="I33" s="82"/>
      <c r="K33" s="11" t="s">
        <v>211</v>
      </c>
      <c r="L33" s="82"/>
      <c r="M33" s="82"/>
    </row>
    <row r="34" spans="6:11" ht="12.75" customHeight="1">
      <c r="F34" s="82"/>
      <c r="G34" s="82"/>
      <c r="H34" s="82"/>
      <c r="I34" s="82"/>
      <c r="K34" s="23"/>
    </row>
    <row r="35" spans="2:13" ht="12.75" customHeight="1">
      <c r="B35" s="11" t="s">
        <v>213</v>
      </c>
      <c r="F35" s="82"/>
      <c r="G35" s="82"/>
      <c r="H35" s="82"/>
      <c r="I35" s="82"/>
      <c r="K35" s="11" t="s">
        <v>214</v>
      </c>
      <c r="L35" s="82"/>
      <c r="M35" s="82"/>
    </row>
    <row r="36" spans="6:11" ht="12.75" customHeight="1">
      <c r="F36" s="19"/>
      <c r="G36" s="19"/>
      <c r="H36" s="19"/>
      <c r="I36" s="19"/>
      <c r="K36" s="53"/>
    </row>
    <row r="37" spans="2:13" ht="12.75" customHeight="1">
      <c r="B37" s="11" t="s">
        <v>215</v>
      </c>
      <c r="F37" s="82"/>
      <c r="G37" s="82"/>
      <c r="H37" s="82"/>
      <c r="I37" s="82"/>
      <c r="K37" s="11" t="s">
        <v>217</v>
      </c>
      <c r="L37" s="82"/>
      <c r="M37" s="82"/>
    </row>
    <row r="38" ht="12.75" customHeight="1"/>
    <row r="39" spans="2:13" ht="12.75" customHeight="1">
      <c r="B39" s="11" t="s">
        <v>218</v>
      </c>
      <c r="C39" s="82"/>
      <c r="D39" s="82"/>
      <c r="E39" s="82"/>
      <c r="F39" s="82"/>
      <c r="G39" s="82"/>
      <c r="H39" s="82"/>
      <c r="I39" s="82"/>
      <c r="K39" s="11" t="s">
        <v>219</v>
      </c>
      <c r="L39" s="82"/>
      <c r="M39" s="82"/>
    </row>
    <row r="40" spans="3:9" ht="12.75" customHeight="1">
      <c r="C40" s="82"/>
      <c r="D40" s="82"/>
      <c r="E40" s="82"/>
      <c r="F40" s="82"/>
      <c r="G40" s="82"/>
      <c r="H40" s="82"/>
      <c r="I40" s="82"/>
    </row>
    <row r="41" spans="3:13" ht="12.75" customHeight="1">
      <c r="C41" s="82"/>
      <c r="D41" s="82"/>
      <c r="E41" s="82"/>
      <c r="F41" s="82"/>
      <c r="G41" s="82"/>
      <c r="H41" s="82"/>
      <c r="I41" s="82"/>
      <c r="K41" s="11" t="s">
        <v>216</v>
      </c>
      <c r="L41" s="82"/>
      <c r="M41" s="82"/>
    </row>
    <row r="42" spans="4:10" ht="12.75" customHeight="1">
      <c r="D42" s="19"/>
      <c r="E42" s="19"/>
      <c r="F42" s="19"/>
      <c r="G42" s="19"/>
      <c r="H42" s="19"/>
      <c r="I42" s="19"/>
      <c r="J42" s="19"/>
    </row>
    <row r="43" spans="2:10" ht="12.75">
      <c r="B43" s="11" t="s">
        <v>7</v>
      </c>
      <c r="G43" s="11" t="s">
        <v>8</v>
      </c>
      <c r="H43" s="16" t="s">
        <v>80</v>
      </c>
      <c r="I43" s="11" t="s">
        <v>9</v>
      </c>
      <c r="J43" s="11" t="s">
        <v>11</v>
      </c>
    </row>
    <row r="44" spans="2:10" ht="12.75">
      <c r="B44" s="11"/>
      <c r="F44" s="11"/>
      <c r="H44" s="16" t="s">
        <v>81</v>
      </c>
      <c r="I44" s="11"/>
      <c r="J44" s="11"/>
    </row>
    <row r="46" spans="2:9" ht="12.75">
      <c r="B46" t="s">
        <v>185</v>
      </c>
      <c r="G46" s="9" t="s">
        <v>184</v>
      </c>
      <c r="H46" s="83">
        <v>18</v>
      </c>
      <c r="I46" s="9" t="s">
        <v>23</v>
      </c>
    </row>
    <row r="47" spans="2:9" ht="12.75">
      <c r="B47" t="s">
        <v>98</v>
      </c>
      <c r="G47" s="9" t="s">
        <v>186</v>
      </c>
      <c r="H47" s="82">
        <v>26.565</v>
      </c>
      <c r="I47" s="9" t="s">
        <v>14</v>
      </c>
    </row>
    <row r="48" spans="2:10" ht="12.75">
      <c r="B48" t="s">
        <v>207</v>
      </c>
      <c r="G48" s="9" t="s">
        <v>187</v>
      </c>
      <c r="H48" s="55">
        <f>DEGREES(ATAN(H46*TAN(RADIANS(H47))/(2*H58)))</f>
        <v>10.619632101637846</v>
      </c>
      <c r="I48" s="9" t="s">
        <v>14</v>
      </c>
      <c r="J48" t="s">
        <v>192</v>
      </c>
    </row>
    <row r="49" spans="2:10" ht="12.75">
      <c r="B49" t="s">
        <v>208</v>
      </c>
      <c r="G49" s="9" t="s">
        <v>0</v>
      </c>
      <c r="H49" s="56">
        <f>IF(H46&gt;=(H58*2),H47,H48)</f>
        <v>10.619632101637846</v>
      </c>
      <c r="I49" s="9" t="s">
        <v>14</v>
      </c>
      <c r="J49" t="s">
        <v>209</v>
      </c>
    </row>
    <row r="50" spans="2:9" ht="12.75">
      <c r="B50" t="s">
        <v>3</v>
      </c>
      <c r="G50" s="9" t="s">
        <v>4</v>
      </c>
      <c r="H50" s="83">
        <v>25</v>
      </c>
      <c r="I50" s="9" t="s">
        <v>14</v>
      </c>
    </row>
    <row r="51" spans="2:10" ht="12.75">
      <c r="B51" t="s">
        <v>5</v>
      </c>
      <c r="G51" s="9" t="s">
        <v>6</v>
      </c>
      <c r="H51" s="83">
        <v>18</v>
      </c>
      <c r="I51" s="9" t="s">
        <v>14</v>
      </c>
      <c r="J51" s="15"/>
    </row>
    <row r="52" spans="2:10" ht="12.75">
      <c r="B52" t="s">
        <v>106</v>
      </c>
      <c r="G52" s="9" t="s">
        <v>107</v>
      </c>
      <c r="H52" s="83">
        <v>0.75</v>
      </c>
      <c r="I52" s="9" t="s">
        <v>23</v>
      </c>
      <c r="J52" s="15"/>
    </row>
    <row r="53" spans="2:9" ht="12.75">
      <c r="B53" t="s">
        <v>97</v>
      </c>
      <c r="G53" s="9" t="s">
        <v>55</v>
      </c>
      <c r="H53" s="56">
        <f>DEGREES(ATAN(H52/3))</f>
        <v>14.036243467926479</v>
      </c>
      <c r="I53" s="9" t="s">
        <v>14</v>
      </c>
    </row>
    <row r="54" spans="2:11" ht="12.75">
      <c r="B54" t="s">
        <v>104</v>
      </c>
      <c r="G54" s="9" t="s">
        <v>105</v>
      </c>
      <c r="H54" s="19">
        <v>0</v>
      </c>
      <c r="I54" s="9" t="s">
        <v>38</v>
      </c>
      <c r="J54" s="28" t="s">
        <v>224</v>
      </c>
      <c r="K54" s="25"/>
    </row>
    <row r="55" spans="2:9" ht="12.75">
      <c r="B55" t="s">
        <v>18</v>
      </c>
      <c r="G55" s="9" t="s">
        <v>19</v>
      </c>
      <c r="H55" s="83">
        <v>250</v>
      </c>
      <c r="I55" s="9" t="s">
        <v>12</v>
      </c>
    </row>
    <row r="56" spans="2:9" ht="12.75">
      <c r="B56" t="s">
        <v>20</v>
      </c>
      <c r="G56" s="9" t="s">
        <v>10</v>
      </c>
      <c r="H56" s="83">
        <v>120</v>
      </c>
      <c r="I56" s="9" t="s">
        <v>12</v>
      </c>
    </row>
    <row r="57" spans="2:14" ht="12.75">
      <c r="B57" t="s">
        <v>28</v>
      </c>
      <c r="G57" s="9" t="s">
        <v>56</v>
      </c>
      <c r="H57" s="83">
        <v>100</v>
      </c>
      <c r="I57" s="9" t="s">
        <v>12</v>
      </c>
      <c r="N57" s="17"/>
    </row>
    <row r="58" spans="2:14" ht="12.75">
      <c r="B58" t="s">
        <v>1</v>
      </c>
      <c r="G58" s="9" t="s">
        <v>2</v>
      </c>
      <c r="H58" s="83">
        <v>24</v>
      </c>
      <c r="I58" s="9" t="s">
        <v>23</v>
      </c>
      <c r="J58" s="15" t="s">
        <v>254</v>
      </c>
      <c r="N58" s="17"/>
    </row>
    <row r="59" spans="2:9" ht="12.75">
      <c r="B59" t="s">
        <v>36</v>
      </c>
      <c r="G59" s="9" t="s">
        <v>22</v>
      </c>
      <c r="H59" s="83">
        <v>18</v>
      </c>
      <c r="I59" s="9" t="s">
        <v>23</v>
      </c>
    </row>
    <row r="60" spans="2:9" ht="12.75">
      <c r="B60" t="s">
        <v>39</v>
      </c>
      <c r="G60" s="9" t="s">
        <v>53</v>
      </c>
      <c r="H60" s="56">
        <v>3</v>
      </c>
      <c r="I60" s="9" t="s">
        <v>23</v>
      </c>
    </row>
    <row r="61" spans="2:9" ht="12.75">
      <c r="B61" t="s">
        <v>102</v>
      </c>
      <c r="G61" s="9" t="s">
        <v>31</v>
      </c>
      <c r="H61" s="83">
        <v>3</v>
      </c>
      <c r="I61" s="9" t="s">
        <v>23</v>
      </c>
    </row>
    <row r="62" spans="2:10" ht="12.75">
      <c r="B62" t="s">
        <v>220</v>
      </c>
      <c r="G62" s="9" t="s">
        <v>221</v>
      </c>
      <c r="H62" s="84">
        <v>4000</v>
      </c>
      <c r="I62" s="79" t="s">
        <v>38</v>
      </c>
      <c r="J62" s="89" t="s">
        <v>222</v>
      </c>
    </row>
    <row r="63" spans="7:10" ht="12.75">
      <c r="G63" s="9"/>
      <c r="H63" s="93"/>
      <c r="I63" s="79"/>
      <c r="J63" s="89"/>
    </row>
    <row r="64" spans="7:10" ht="12.75">
      <c r="G64" s="9"/>
      <c r="H64" s="19"/>
      <c r="I64" s="9"/>
      <c r="J64" s="89"/>
    </row>
    <row r="65" spans="2:8" ht="12.75">
      <c r="B65" t="s">
        <v>87</v>
      </c>
      <c r="C65" s="9"/>
      <c r="D65" s="19"/>
      <c r="E65" s="9" t="s">
        <v>86</v>
      </c>
      <c r="F65" s="9" t="s">
        <v>13</v>
      </c>
      <c r="G65" s="14" t="s">
        <v>130</v>
      </c>
      <c r="H65" s="1" t="s">
        <v>83</v>
      </c>
    </row>
    <row r="66" spans="3:7" ht="12.75">
      <c r="C66" s="9"/>
      <c r="D66" s="19"/>
      <c r="E66" s="9"/>
      <c r="F66" s="9"/>
      <c r="G66" s="5" t="s">
        <v>84</v>
      </c>
    </row>
    <row r="67" spans="3:12" ht="12.75">
      <c r="C67" s="9"/>
      <c r="D67" s="19"/>
      <c r="E67" s="9"/>
      <c r="F67" s="25"/>
      <c r="G67" s="32"/>
      <c r="H67" s="24"/>
      <c r="J67" s="24"/>
      <c r="K67" s="24"/>
      <c r="L67" s="24"/>
    </row>
    <row r="68" spans="3:12" ht="12.75">
      <c r="C68" s="9"/>
      <c r="D68" s="19"/>
      <c r="E68" s="9"/>
      <c r="F68" s="25" t="s">
        <v>13</v>
      </c>
      <c r="G68" s="57">
        <f>+H59+H52-H60</f>
        <v>15.75</v>
      </c>
      <c r="H68" s="57">
        <f>SIN(RADIANS(90+H53))</f>
        <v>0.9701425001453319</v>
      </c>
      <c r="J68" s="25"/>
      <c r="K68" s="24"/>
      <c r="L68" s="24"/>
    </row>
    <row r="69" spans="3:12" ht="12.75">
      <c r="C69" s="9"/>
      <c r="D69" s="19"/>
      <c r="E69" s="9"/>
      <c r="F69" s="25"/>
      <c r="G69" s="58">
        <f>SIN(RADIANS(90-H53-H49))</f>
        <v>0.9088297144527551</v>
      </c>
      <c r="H69" s="25"/>
      <c r="J69" s="25"/>
      <c r="K69" s="24"/>
      <c r="L69" s="24"/>
    </row>
    <row r="70" spans="3:12" ht="12.75">
      <c r="C70" s="9"/>
      <c r="D70" s="19"/>
      <c r="E70" s="9"/>
      <c r="F70" s="25"/>
      <c r="G70" s="25"/>
      <c r="H70" s="25"/>
      <c r="J70" s="25"/>
      <c r="K70" s="24"/>
      <c r="L70" s="24"/>
    </row>
    <row r="71" spans="3:12" ht="12.75">
      <c r="C71" s="9"/>
      <c r="D71" s="19"/>
      <c r="E71" s="9"/>
      <c r="F71" s="25" t="s">
        <v>13</v>
      </c>
      <c r="G71" s="58">
        <f>+G68*H68/G69</f>
        <v>16.81254929752111</v>
      </c>
      <c r="H71" s="25" t="s">
        <v>23</v>
      </c>
      <c r="J71" s="25"/>
      <c r="K71" s="24"/>
      <c r="L71" s="24"/>
    </row>
    <row r="72" spans="3:12" ht="12.75">
      <c r="C72" s="9"/>
      <c r="D72" s="19"/>
      <c r="E72" s="9"/>
      <c r="F72" s="25"/>
      <c r="G72" s="25"/>
      <c r="H72" s="25"/>
      <c r="J72" s="25"/>
      <c r="K72" s="24"/>
      <c r="L72" s="24"/>
    </row>
    <row r="73" spans="2:12" ht="12.75">
      <c r="B73" t="s">
        <v>109</v>
      </c>
      <c r="E73" s="9" t="s">
        <v>54</v>
      </c>
      <c r="F73" s="25" t="s">
        <v>13</v>
      </c>
      <c r="G73" s="25" t="s">
        <v>120</v>
      </c>
      <c r="H73" s="24"/>
      <c r="J73" s="24"/>
      <c r="K73" s="24"/>
      <c r="L73" s="24"/>
    </row>
    <row r="74" spans="3:12" ht="12.75">
      <c r="C74" s="9"/>
      <c r="D74" s="19"/>
      <c r="F74" s="24"/>
      <c r="G74" s="24"/>
      <c r="H74" s="24"/>
      <c r="J74" s="24"/>
      <c r="K74" s="24"/>
      <c r="L74" s="24"/>
    </row>
    <row r="75" spans="3:12" ht="12.75">
      <c r="C75" s="9"/>
      <c r="D75" s="19"/>
      <c r="F75" s="25" t="s">
        <v>13</v>
      </c>
      <c r="G75" s="58">
        <f>+G71*SIN(RADIANS(H49))</f>
        <v>3.0983533967722696</v>
      </c>
      <c r="H75" s="25" t="s">
        <v>23</v>
      </c>
      <c r="J75" s="24"/>
      <c r="K75" s="24"/>
      <c r="L75" s="24"/>
    </row>
    <row r="76" spans="3:12" ht="12.75">
      <c r="C76" s="9"/>
      <c r="D76" s="19"/>
      <c r="G76" s="25"/>
      <c r="H76" s="25"/>
      <c r="I76" s="25"/>
      <c r="J76" s="24"/>
      <c r="K76" s="24"/>
      <c r="L76" s="24"/>
    </row>
    <row r="77" spans="1:21" ht="12.75">
      <c r="A77">
        <v>1</v>
      </c>
      <c r="B77" s="11" t="s">
        <v>58</v>
      </c>
      <c r="C77" s="9"/>
      <c r="D77" s="19"/>
      <c r="F77" s="9"/>
      <c r="G77" s="9"/>
      <c r="H77" s="24"/>
      <c r="I77" s="9"/>
      <c r="N77" s="9"/>
      <c r="O77" s="5"/>
      <c r="P77" s="5"/>
      <c r="Q77" s="5"/>
      <c r="R77" s="5"/>
      <c r="S77" s="5"/>
      <c r="T77" s="5"/>
      <c r="U77" s="7"/>
    </row>
    <row r="78" spans="3:21" ht="12.75">
      <c r="C78" s="9"/>
      <c r="D78" s="19"/>
      <c r="G78" s="9"/>
      <c r="H78" s="25"/>
      <c r="I78" s="9"/>
      <c r="O78" s="5"/>
      <c r="P78" s="5"/>
      <c r="Q78" s="5"/>
      <c r="R78" s="6"/>
      <c r="S78" s="10"/>
      <c r="T78" s="5"/>
      <c r="U78" s="5"/>
    </row>
    <row r="79" spans="2:21" ht="18">
      <c r="B79" t="s">
        <v>127</v>
      </c>
      <c r="E79" s="13" t="s">
        <v>21</v>
      </c>
      <c r="F79" s="9" t="s">
        <v>13</v>
      </c>
      <c r="G79" s="31"/>
      <c r="H79" s="31"/>
      <c r="I79" s="1" t="s">
        <v>189</v>
      </c>
      <c r="J79" s="31"/>
      <c r="K79" s="31"/>
      <c r="L79" s="24"/>
      <c r="O79" s="5"/>
      <c r="P79" s="5"/>
      <c r="Q79" s="5"/>
      <c r="R79" s="6"/>
      <c r="S79" s="5"/>
      <c r="T79" s="5"/>
      <c r="U79" s="5"/>
    </row>
    <row r="80" spans="2:21" ht="18">
      <c r="B80" t="s">
        <v>126</v>
      </c>
      <c r="G80" s="91" t="s">
        <v>190</v>
      </c>
      <c r="H80" s="5" t="s">
        <v>82</v>
      </c>
      <c r="I80" s="29" t="s">
        <v>111</v>
      </c>
      <c r="J80" s="46" t="s">
        <v>57</v>
      </c>
      <c r="K80" s="2" t="s">
        <v>205</v>
      </c>
      <c r="L80" s="49" t="s">
        <v>112</v>
      </c>
      <c r="O80" s="5"/>
      <c r="P80" s="5"/>
      <c r="Q80" s="5"/>
      <c r="R80" s="5"/>
      <c r="S80" s="5"/>
      <c r="T80" s="5"/>
      <c r="U80" s="5"/>
    </row>
    <row r="81" spans="7:12" ht="12.75">
      <c r="G81" s="24"/>
      <c r="H81" s="24"/>
      <c r="I81" s="29"/>
      <c r="J81" s="5" t="s">
        <v>82</v>
      </c>
      <c r="K81" s="3" t="s">
        <v>206</v>
      </c>
      <c r="L81" s="24"/>
    </row>
    <row r="82" spans="7:12" ht="12.75">
      <c r="G82" s="30"/>
      <c r="H82" s="30"/>
      <c r="I82" s="30"/>
      <c r="J82" s="30"/>
      <c r="K82" s="30"/>
      <c r="L82" s="24"/>
    </row>
    <row r="83" spans="7:12" ht="12.75">
      <c r="G83" s="43"/>
      <c r="H83" s="43"/>
      <c r="I83" s="59">
        <f>POWER(COS(RADIANS(H50+H53)),2)</f>
        <v>0.6033370176572432</v>
      </c>
      <c r="J83" s="43"/>
      <c r="K83" s="43"/>
      <c r="L83" s="24"/>
    </row>
    <row r="84" spans="7:12" ht="18">
      <c r="G84" s="92">
        <f>POWER(COS(RADIANS(H53)),2)</f>
        <v>0.9411764705882353</v>
      </c>
      <c r="H84" s="60">
        <f>COS(RADIANS(H53-H51))</f>
        <v>0.9976079763756668</v>
      </c>
      <c r="I84" s="44" t="s">
        <v>111</v>
      </c>
      <c r="J84" s="59">
        <f>SIN(RADIANS(H51+H50))</f>
        <v>0.6819983600624985</v>
      </c>
      <c r="K84" s="61">
        <f>SIN(RADIANS(H50-H49))</f>
        <v>0.24835799257677582</v>
      </c>
      <c r="L84" s="49" t="s">
        <v>112</v>
      </c>
    </row>
    <row r="85" spans="7:12" ht="12.75">
      <c r="G85" s="30"/>
      <c r="H85" s="30"/>
      <c r="I85" s="44"/>
      <c r="J85" s="60">
        <f>COS(RADIANS(H53-H51))</f>
        <v>0.9976079763756668</v>
      </c>
      <c r="K85" s="62">
        <f>COS(RADIANS(H53+H49))</f>
        <v>0.9088297144527551</v>
      </c>
      <c r="L85" s="24"/>
    </row>
    <row r="86" spans="7:12" ht="12.75">
      <c r="G86" s="30"/>
      <c r="H86" s="30"/>
      <c r="I86" s="30"/>
      <c r="J86" s="30"/>
      <c r="K86" s="30"/>
      <c r="L86" s="24"/>
    </row>
    <row r="87" spans="7:12" ht="12.75">
      <c r="G87" s="63">
        <f>+I83</f>
        <v>0.6033370176572432</v>
      </c>
      <c r="H87" s="24"/>
      <c r="I87" s="24"/>
      <c r="J87" s="24"/>
      <c r="K87" s="24"/>
      <c r="L87" s="24"/>
    </row>
    <row r="88" ht="12.75">
      <c r="G88" s="58">
        <f>POWER((SQRT(+J84*K84/J85/K85)+1),2)*G84*H84</f>
        <v>1.9259865753006529</v>
      </c>
    </row>
    <row r="90" spans="5:12" ht="12.75">
      <c r="E90" s="9"/>
      <c r="F90" s="9"/>
      <c r="G90" s="58">
        <f>+G87/G88</f>
        <v>0.31326127886590294</v>
      </c>
      <c r="H90" s="9"/>
      <c r="I90" s="9"/>
      <c r="J90" s="9"/>
      <c r="K90" s="9"/>
      <c r="L90" s="9"/>
    </row>
    <row r="91" spans="5:12" ht="12.75">
      <c r="E91" s="9"/>
      <c r="F91" s="9"/>
      <c r="G91" s="9"/>
      <c r="H91" s="9"/>
      <c r="I91" s="9"/>
      <c r="J91" s="9"/>
      <c r="K91" s="9"/>
      <c r="L91" s="9"/>
    </row>
    <row r="92" spans="2:12" ht="12.75">
      <c r="B92" t="s">
        <v>191</v>
      </c>
      <c r="E92" s="9"/>
      <c r="F92" s="9"/>
      <c r="G92" s="9"/>
      <c r="H92" s="9"/>
      <c r="I92" s="9"/>
      <c r="J92" s="9"/>
      <c r="K92" s="9"/>
      <c r="L92" s="9"/>
    </row>
    <row r="93" spans="5:12" ht="12.75">
      <c r="E93" s="9"/>
      <c r="F93" s="9"/>
      <c r="G93" s="9"/>
      <c r="H93" s="9"/>
      <c r="I93" s="9"/>
      <c r="J93" s="9"/>
      <c r="K93" s="9"/>
      <c r="L93" s="9"/>
    </row>
    <row r="94" spans="2:12" ht="18">
      <c r="B94" t="s">
        <v>169</v>
      </c>
      <c r="E94" s="9" t="s">
        <v>172</v>
      </c>
      <c r="F94" s="9" t="s">
        <v>13</v>
      </c>
      <c r="G94" s="9" t="s">
        <v>114</v>
      </c>
      <c r="H94" s="9" t="s">
        <v>188</v>
      </c>
      <c r="I94" s="13" t="s">
        <v>174</v>
      </c>
      <c r="J94" s="9"/>
      <c r="K94" s="9"/>
      <c r="L94" s="9"/>
    </row>
    <row r="95" spans="5:12" ht="12.75">
      <c r="E95" s="9"/>
      <c r="F95" s="9"/>
      <c r="G95" s="9"/>
      <c r="H95" s="9"/>
      <c r="I95" s="9"/>
      <c r="J95" s="9"/>
      <c r="K95" s="9"/>
      <c r="L95" s="9"/>
    </row>
    <row r="96" spans="5:12" ht="12.75">
      <c r="E96" s="9"/>
      <c r="F96" s="9"/>
      <c r="G96" s="58">
        <f>0.5*G90*H56*POWER((H58+G75),2)*COS(RADIANS(H51-H53))</f>
        <v>13769.040719713923</v>
      </c>
      <c r="H96" s="9" t="s">
        <v>47</v>
      </c>
      <c r="I96" s="9"/>
      <c r="J96" s="9"/>
      <c r="K96" s="25"/>
      <c r="L96" s="9"/>
    </row>
    <row r="97" spans="5:12" ht="12.75">
      <c r="E97" s="9"/>
      <c r="F97" s="9"/>
      <c r="G97" s="9"/>
      <c r="H97" s="9"/>
      <c r="I97" s="9"/>
      <c r="J97" s="9"/>
      <c r="K97" s="9"/>
      <c r="L97" s="9"/>
    </row>
    <row r="98" spans="2:12" ht="12.75">
      <c r="B98" t="s">
        <v>170</v>
      </c>
      <c r="E98" s="9" t="s">
        <v>173</v>
      </c>
      <c r="F98" s="25" t="s">
        <v>13</v>
      </c>
      <c r="G98" s="25" t="s">
        <v>113</v>
      </c>
      <c r="H98" s="25" t="s">
        <v>88</v>
      </c>
      <c r="I98" s="13" t="s">
        <v>174</v>
      </c>
      <c r="J98" s="9"/>
      <c r="K98" s="9"/>
      <c r="L98" s="9"/>
    </row>
    <row r="99" spans="2:12" ht="12.75">
      <c r="B99" t="s">
        <v>171</v>
      </c>
      <c r="E99" s="9"/>
      <c r="F99" s="9"/>
      <c r="G99" s="9"/>
      <c r="H99" s="9"/>
      <c r="I99" s="9"/>
      <c r="J99" s="9"/>
      <c r="K99" s="9"/>
      <c r="L99" s="9"/>
    </row>
    <row r="100" spans="5:16" ht="12.75">
      <c r="E100" s="9"/>
      <c r="F100" s="9"/>
      <c r="G100" s="58">
        <f>+G90*H55*(H58+G75)*COS(RADIANS(H51-H53))</f>
        <v>2117.139818747864</v>
      </c>
      <c r="H100" s="9" t="s">
        <v>47</v>
      </c>
      <c r="I100" s="9"/>
      <c r="J100" s="9"/>
      <c r="K100" s="25"/>
      <c r="L100" s="9"/>
      <c r="P100" s="19"/>
    </row>
    <row r="101" spans="5:12" ht="12.75"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t="s">
        <v>175</v>
      </c>
      <c r="E102" s="9" t="s">
        <v>176</v>
      </c>
      <c r="F102" s="9" t="s">
        <v>13</v>
      </c>
      <c r="G102" s="9" t="s">
        <v>177</v>
      </c>
      <c r="H102" s="9"/>
      <c r="I102" s="9"/>
      <c r="J102" s="9"/>
      <c r="K102" s="9"/>
      <c r="L102" s="9"/>
    </row>
    <row r="103" spans="5:12" ht="12.75">
      <c r="E103" s="9"/>
      <c r="F103" s="9"/>
      <c r="G103" s="9"/>
      <c r="H103" s="9"/>
      <c r="I103" s="9"/>
      <c r="J103" s="9"/>
      <c r="K103" s="9"/>
      <c r="L103" s="9"/>
    </row>
    <row r="104" spans="5:12" ht="12.75">
      <c r="E104" s="9"/>
      <c r="F104" s="9" t="s">
        <v>13</v>
      </c>
      <c r="G104" s="58">
        <f>+G100+G96</f>
        <v>15886.180538461787</v>
      </c>
      <c r="H104" s="9" t="s">
        <v>47</v>
      </c>
      <c r="I104" s="9"/>
      <c r="J104" s="9"/>
      <c r="K104" s="9"/>
      <c r="L104" s="9"/>
    </row>
    <row r="105" spans="5:12" ht="12.75"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11">
        <v>2</v>
      </c>
      <c r="B106" s="11" t="s">
        <v>193</v>
      </c>
      <c r="E106" s="25"/>
      <c r="F106" s="25"/>
      <c r="G106" s="25"/>
      <c r="H106" s="25"/>
      <c r="I106" s="25"/>
      <c r="J106" s="25"/>
      <c r="K106" s="25"/>
      <c r="L106" s="25"/>
    </row>
    <row r="107" spans="5:16" ht="12.75">
      <c r="E107" s="25"/>
      <c r="F107" s="25"/>
      <c r="G107" s="25"/>
      <c r="H107" s="25"/>
      <c r="I107" s="25"/>
      <c r="J107" s="25"/>
      <c r="K107" s="25"/>
      <c r="L107" s="25"/>
      <c r="P107" s="47"/>
    </row>
    <row r="108" spans="2:12" ht="12.75">
      <c r="B108" t="s">
        <v>115</v>
      </c>
      <c r="E108" s="9" t="s">
        <v>24</v>
      </c>
      <c r="F108" s="9" t="s">
        <v>13</v>
      </c>
      <c r="G108" s="9" t="s">
        <v>172</v>
      </c>
      <c r="H108" s="25" t="s">
        <v>90</v>
      </c>
      <c r="I108" s="25" t="s">
        <v>15</v>
      </c>
      <c r="J108" s="9" t="s">
        <v>173</v>
      </c>
      <c r="K108" s="25" t="s">
        <v>89</v>
      </c>
      <c r="L108" s="25"/>
    </row>
    <row r="109" spans="5:12" ht="12.75">
      <c r="E109" s="9"/>
      <c r="F109" s="9"/>
      <c r="G109" s="9"/>
      <c r="H109" s="9"/>
      <c r="I109" s="9"/>
      <c r="J109" s="9"/>
      <c r="K109" s="9"/>
      <c r="L109" s="9"/>
    </row>
    <row r="110" spans="5:12" ht="12.75">
      <c r="E110" s="9"/>
      <c r="F110" s="9" t="s">
        <v>13</v>
      </c>
      <c r="G110" s="58">
        <f>+G96</f>
        <v>13769.040719713923</v>
      </c>
      <c r="H110" s="58">
        <f>(+H58+G75)/3</f>
        <v>9.032784465590757</v>
      </c>
      <c r="I110" s="9" t="s">
        <v>15</v>
      </c>
      <c r="J110" s="58">
        <f>+G100</f>
        <v>2117.139818747864</v>
      </c>
      <c r="K110" s="58">
        <f>(+H58+G75)/2</f>
        <v>13.549176698386134</v>
      </c>
      <c r="L110" s="9"/>
    </row>
    <row r="111" spans="5:12" ht="12.75">
      <c r="E111" s="9"/>
      <c r="F111" s="9"/>
      <c r="G111" s="9"/>
      <c r="H111" s="9"/>
      <c r="I111" s="9"/>
      <c r="J111" s="9"/>
      <c r="K111" s="9"/>
      <c r="L111" s="9"/>
    </row>
    <row r="112" spans="5:12" ht="12.75">
      <c r="E112" s="25"/>
      <c r="F112" s="25" t="s">
        <v>13</v>
      </c>
      <c r="G112" s="58">
        <f>(+G110*H110)+(J110*K110)</f>
        <v>153058.27861852248</v>
      </c>
      <c r="H112" s="25" t="s">
        <v>25</v>
      </c>
      <c r="I112" s="25"/>
      <c r="J112" s="25"/>
      <c r="K112" s="25"/>
      <c r="L112" s="25"/>
    </row>
    <row r="113" spans="5:12" ht="12.75">
      <c r="E113" s="25"/>
      <c r="F113" s="25"/>
      <c r="G113" s="25"/>
      <c r="H113" s="25"/>
      <c r="I113" s="25"/>
      <c r="J113" s="25"/>
      <c r="K113" s="25"/>
      <c r="L113" s="25"/>
    </row>
    <row r="114" spans="2:12" ht="12.75">
      <c r="B114" t="s">
        <v>26</v>
      </c>
      <c r="E114" s="25" t="s">
        <v>27</v>
      </c>
      <c r="F114" s="25" t="s">
        <v>13</v>
      </c>
      <c r="G114" s="25" t="s">
        <v>116</v>
      </c>
      <c r="H114" s="25"/>
      <c r="I114" s="25"/>
      <c r="J114" s="25"/>
      <c r="K114" s="25"/>
      <c r="L114" s="25"/>
    </row>
    <row r="115" spans="5:12" ht="12.75">
      <c r="E115" s="25"/>
      <c r="F115" s="25"/>
      <c r="G115" s="25"/>
      <c r="H115" s="25"/>
      <c r="I115" s="25"/>
      <c r="J115" s="25"/>
      <c r="K115" s="25"/>
      <c r="L115" s="25"/>
    </row>
    <row r="116" spans="5:12" ht="12.75">
      <c r="E116" s="25"/>
      <c r="F116" s="25"/>
      <c r="G116" s="58">
        <f>+H58*H60*H57</f>
        <v>7200</v>
      </c>
      <c r="H116" s="25" t="s">
        <v>29</v>
      </c>
      <c r="I116" s="25"/>
      <c r="J116" s="25"/>
      <c r="K116" s="25"/>
      <c r="L116" s="25"/>
    </row>
    <row r="117" spans="5:12" ht="12.75">
      <c r="E117" s="25"/>
      <c r="F117" s="25"/>
      <c r="G117" s="25"/>
      <c r="H117" s="25"/>
      <c r="I117" s="25"/>
      <c r="J117" s="25"/>
      <c r="K117" s="25"/>
      <c r="L117" s="25"/>
    </row>
    <row r="118" spans="2:12" ht="12.75">
      <c r="B118" t="s">
        <v>30</v>
      </c>
      <c r="E118" s="9" t="s">
        <v>60</v>
      </c>
      <c r="F118" s="9" t="s">
        <v>13</v>
      </c>
      <c r="G118" s="9" t="s">
        <v>117</v>
      </c>
      <c r="H118" s="9" t="s">
        <v>15</v>
      </c>
      <c r="I118" s="18" t="s">
        <v>118</v>
      </c>
      <c r="J118" s="9"/>
      <c r="K118" s="9"/>
      <c r="L118" s="25"/>
    </row>
    <row r="119" spans="5:12" ht="12.75">
      <c r="E119" s="9"/>
      <c r="F119" s="9"/>
      <c r="G119" s="9"/>
      <c r="H119" s="9"/>
      <c r="I119" s="9"/>
      <c r="J119" s="9"/>
      <c r="K119" s="9"/>
      <c r="L119" s="25"/>
    </row>
    <row r="120" spans="6:12" ht="12.75">
      <c r="F120" s="9" t="s">
        <v>13</v>
      </c>
      <c r="G120" s="64">
        <f>(0.5*H58*TAN(RADIANS((H53))))+(H60-H52)/2</f>
        <v>4.125</v>
      </c>
      <c r="H120" s="9" t="s">
        <v>23</v>
      </c>
      <c r="I120" s="9"/>
      <c r="J120" s="9"/>
      <c r="K120" s="9"/>
      <c r="L120" s="25"/>
    </row>
    <row r="121" spans="6:12" ht="12.75">
      <c r="F121" s="9"/>
      <c r="G121" s="20"/>
      <c r="H121" s="9"/>
      <c r="I121" s="9"/>
      <c r="J121" s="9"/>
      <c r="K121" s="9"/>
      <c r="L121" s="25"/>
    </row>
    <row r="122" spans="2:12" ht="12.75">
      <c r="B122" t="s">
        <v>61</v>
      </c>
      <c r="E122" s="9" t="s">
        <v>85</v>
      </c>
      <c r="F122" s="9" t="s">
        <v>13</v>
      </c>
      <c r="G122" s="9" t="s">
        <v>119</v>
      </c>
      <c r="I122" s="25"/>
      <c r="J122" s="25"/>
      <c r="K122" s="25"/>
      <c r="L122" s="25"/>
    </row>
    <row r="123" spans="5:12" ht="12.75">
      <c r="E123" s="25"/>
      <c r="F123" s="25"/>
      <c r="G123" s="25"/>
      <c r="H123" s="25"/>
      <c r="I123" s="25"/>
      <c r="J123" s="25"/>
      <c r="K123" s="25"/>
      <c r="L123" s="25"/>
    </row>
    <row r="124" spans="5:12" ht="12.75">
      <c r="E124" s="25"/>
      <c r="F124" s="25" t="s">
        <v>13</v>
      </c>
      <c r="G124" s="58">
        <f>+G71*COS(RADIANS(H49))</f>
        <v>16.524588349193067</v>
      </c>
      <c r="H124" s="25" t="s">
        <v>23</v>
      </c>
      <c r="I124" s="25"/>
      <c r="J124" s="25"/>
      <c r="K124" s="25"/>
      <c r="L124" s="25"/>
    </row>
    <row r="125" spans="5:12" ht="12.75">
      <c r="E125" s="25"/>
      <c r="F125" s="25"/>
      <c r="G125" s="25"/>
      <c r="H125" s="25"/>
      <c r="I125" s="25"/>
      <c r="J125" s="25"/>
      <c r="K125" s="25"/>
      <c r="L125" s="25"/>
    </row>
    <row r="126" spans="2:12" ht="12.75">
      <c r="B126" t="s">
        <v>41</v>
      </c>
      <c r="E126" s="9" t="s">
        <v>42</v>
      </c>
      <c r="F126" s="9" t="s">
        <v>13</v>
      </c>
      <c r="G126" s="9" t="s">
        <v>121</v>
      </c>
      <c r="H126" s="9"/>
      <c r="I126" s="25"/>
      <c r="J126" s="25"/>
      <c r="K126" s="25"/>
      <c r="L126" s="25"/>
    </row>
    <row r="127" spans="5:12" ht="12.75">
      <c r="E127" s="9"/>
      <c r="F127" s="9"/>
      <c r="G127" s="9"/>
      <c r="H127" s="9"/>
      <c r="I127" s="25"/>
      <c r="J127" s="25"/>
      <c r="K127" s="25"/>
      <c r="L127" s="25"/>
    </row>
    <row r="128" spans="5:12" ht="12.75">
      <c r="E128" s="9"/>
      <c r="F128" s="9" t="s">
        <v>13</v>
      </c>
      <c r="G128" s="58">
        <f>+G124*H55</f>
        <v>4131.147087298266</v>
      </c>
      <c r="H128" s="9" t="s">
        <v>29</v>
      </c>
      <c r="I128" s="25"/>
      <c r="J128" s="25"/>
      <c r="K128" s="25"/>
      <c r="L128" s="25"/>
    </row>
    <row r="129" spans="5:12" ht="12.75">
      <c r="E129" s="9"/>
      <c r="F129" s="9"/>
      <c r="G129" s="24"/>
      <c r="H129" s="9"/>
      <c r="I129" s="25"/>
      <c r="J129" s="25"/>
      <c r="K129" s="25"/>
      <c r="L129" s="25"/>
    </row>
    <row r="130" spans="2:12" ht="12.75">
      <c r="B130" t="s">
        <v>43</v>
      </c>
      <c r="E130" s="9" t="s">
        <v>59</v>
      </c>
      <c r="F130" s="9" t="s">
        <v>13</v>
      </c>
      <c r="G130" s="25" t="s">
        <v>123</v>
      </c>
      <c r="H130" s="34" t="s">
        <v>122</v>
      </c>
      <c r="I130" s="25"/>
      <c r="J130" s="25"/>
      <c r="K130" s="25"/>
      <c r="L130" s="25"/>
    </row>
    <row r="131" spans="5:12" ht="12.75">
      <c r="E131" s="25"/>
      <c r="F131" s="25"/>
      <c r="G131" s="25"/>
      <c r="H131" s="25"/>
      <c r="I131" s="25"/>
      <c r="J131" s="25"/>
      <c r="K131" s="25"/>
      <c r="L131" s="25"/>
    </row>
    <row r="132" spans="5:12" ht="12.75">
      <c r="E132" s="25"/>
      <c r="F132" s="25" t="s">
        <v>13</v>
      </c>
      <c r="G132" s="58">
        <f>+H58*TAN(RADIANS(H53))+H60-H52+0.5*G124</f>
        <v>16.512294174596533</v>
      </c>
      <c r="H132" s="25" t="s">
        <v>23</v>
      </c>
      <c r="I132" s="25"/>
      <c r="J132" s="25"/>
      <c r="K132" s="25"/>
      <c r="L132" s="25"/>
    </row>
    <row r="133" spans="5:12" ht="12.75">
      <c r="E133" s="25"/>
      <c r="F133" s="25"/>
      <c r="G133" s="25"/>
      <c r="H133" s="25"/>
      <c r="I133" s="25"/>
      <c r="J133" s="25"/>
      <c r="K133" s="25"/>
      <c r="L133" s="25"/>
    </row>
    <row r="134" spans="2:12" ht="12.75">
      <c r="B134" t="s">
        <v>44</v>
      </c>
      <c r="E134" s="9" t="s">
        <v>77</v>
      </c>
      <c r="F134" s="9" t="s">
        <v>13</v>
      </c>
      <c r="G134" s="25" t="s">
        <v>124</v>
      </c>
      <c r="H134" s="25"/>
      <c r="I134" s="25"/>
      <c r="J134" s="25"/>
      <c r="K134" s="25"/>
      <c r="L134" s="25"/>
    </row>
    <row r="135" spans="5:12" ht="12.75">
      <c r="E135" s="25"/>
      <c r="F135" s="25"/>
      <c r="G135" s="25"/>
      <c r="H135" s="25"/>
      <c r="I135" s="25"/>
      <c r="J135" s="25"/>
      <c r="K135" s="25"/>
      <c r="L135" s="25"/>
    </row>
    <row r="136" spans="5:12" ht="12.75">
      <c r="E136" s="25"/>
      <c r="F136" s="25" t="s">
        <v>13</v>
      </c>
      <c r="G136" s="58">
        <f>(+H59-H60)*H58*H56</f>
        <v>43200</v>
      </c>
      <c r="H136" s="9" t="s">
        <v>29</v>
      </c>
      <c r="I136" s="25"/>
      <c r="J136" s="25"/>
      <c r="K136" s="25"/>
      <c r="L136" s="25"/>
    </row>
    <row r="137" spans="5:12" ht="12.75">
      <c r="E137" s="25"/>
      <c r="F137" s="25"/>
      <c r="G137" s="25"/>
      <c r="H137" s="25"/>
      <c r="I137" s="25"/>
      <c r="J137" s="25"/>
      <c r="K137" s="25"/>
      <c r="L137" s="25"/>
    </row>
    <row r="138" spans="2:12" ht="12.75">
      <c r="B138" s="17" t="s">
        <v>194</v>
      </c>
      <c r="E138" s="18" t="s">
        <v>78</v>
      </c>
      <c r="F138" s="18" t="s">
        <v>13</v>
      </c>
      <c r="G138" s="28" t="s">
        <v>178</v>
      </c>
      <c r="H138" s="25"/>
      <c r="I138" s="25"/>
      <c r="J138" s="25"/>
      <c r="K138" s="25"/>
      <c r="L138" s="25"/>
    </row>
    <row r="139" spans="5:12" ht="12.75">
      <c r="E139" s="25"/>
      <c r="F139" s="25"/>
      <c r="G139" s="25"/>
      <c r="H139" s="25"/>
      <c r="I139" s="25"/>
      <c r="J139" s="25"/>
      <c r="K139" s="25"/>
      <c r="L139" s="25"/>
    </row>
    <row r="140" spans="5:12" ht="12.75">
      <c r="E140" s="25"/>
      <c r="F140" s="25" t="s">
        <v>13</v>
      </c>
      <c r="G140" s="58">
        <f>0.5*(H58*TAN(RADIANS(H53))+H59-H60)+H60</f>
        <v>13.5</v>
      </c>
      <c r="H140" s="25"/>
      <c r="I140" s="25"/>
      <c r="J140" s="25"/>
      <c r="K140" s="25"/>
      <c r="L140" s="25"/>
    </row>
    <row r="141" spans="5:12" ht="12.75">
      <c r="E141" s="25"/>
      <c r="F141" s="25"/>
      <c r="G141" s="25"/>
      <c r="H141" s="25"/>
      <c r="I141" s="25"/>
      <c r="J141" s="25"/>
      <c r="K141" s="25"/>
      <c r="L141" s="25"/>
    </row>
    <row r="142" spans="2:12" ht="12.75">
      <c r="B142" t="s">
        <v>196</v>
      </c>
      <c r="E142" s="9" t="s">
        <v>91</v>
      </c>
      <c r="F142" s="9" t="s">
        <v>13</v>
      </c>
      <c r="G142" s="25" t="s">
        <v>179</v>
      </c>
      <c r="H142" s="6" t="s">
        <v>125</v>
      </c>
      <c r="I142" s="25"/>
      <c r="J142" s="25"/>
      <c r="K142" s="25"/>
      <c r="L142" s="25"/>
    </row>
    <row r="143" spans="5:12" ht="12.75">
      <c r="E143" s="9"/>
      <c r="F143" s="9"/>
      <c r="G143" s="25"/>
      <c r="H143" s="25"/>
      <c r="I143" s="25"/>
      <c r="J143" s="25"/>
      <c r="K143" s="25"/>
      <c r="L143" s="25"/>
    </row>
    <row r="144" spans="5:12" ht="12.75">
      <c r="E144" s="25"/>
      <c r="F144" s="25" t="s">
        <v>13</v>
      </c>
      <c r="G144" s="58">
        <f>0.5*G71*(H59-H60+H52)*SIN(RADIANS(H49))*H56</f>
        <v>2927.9439599497946</v>
      </c>
      <c r="H144" s="9" t="s">
        <v>29</v>
      </c>
      <c r="I144" s="25"/>
      <c r="J144" s="25"/>
      <c r="K144" s="25"/>
      <c r="L144" s="25"/>
    </row>
    <row r="145" spans="5:12" ht="12.75">
      <c r="E145" s="25"/>
      <c r="F145" s="25"/>
      <c r="G145" s="25"/>
      <c r="H145" s="25"/>
      <c r="I145" s="25"/>
      <c r="J145" s="25"/>
      <c r="K145" s="25"/>
      <c r="L145" s="25"/>
    </row>
    <row r="146" spans="2:12" ht="12.75">
      <c r="B146" s="17" t="s">
        <v>195</v>
      </c>
      <c r="E146" s="18" t="s">
        <v>92</v>
      </c>
      <c r="F146" s="18" t="s">
        <v>13</v>
      </c>
      <c r="G146" s="81" t="s">
        <v>255</v>
      </c>
      <c r="J146" s="25"/>
      <c r="K146" s="35"/>
      <c r="L146" s="25"/>
    </row>
    <row r="147" spans="2:12" ht="12.75">
      <c r="B147" s="17"/>
      <c r="E147" s="25"/>
      <c r="F147" s="25"/>
      <c r="J147" s="25"/>
      <c r="K147" s="25"/>
      <c r="L147" s="25"/>
    </row>
    <row r="148" spans="5:12" ht="12.75">
      <c r="E148" s="25"/>
      <c r="F148" s="25" t="s">
        <v>13</v>
      </c>
      <c r="G148" s="58">
        <f>H58*TAN(RADIANS(H53))+H60-H52+2*(0.5*G75*TAN(RADIANS(H53))+H59+H52-H60)/3</f>
        <v>19.00819611639769</v>
      </c>
      <c r="J148" s="58"/>
      <c r="K148" s="25"/>
      <c r="L148" s="25"/>
    </row>
    <row r="149" spans="5:12" ht="12.75">
      <c r="E149" s="25"/>
      <c r="F149" s="25"/>
      <c r="G149" s="25"/>
      <c r="H149" s="25"/>
      <c r="I149" s="25"/>
      <c r="J149" s="25"/>
      <c r="K149" s="25"/>
      <c r="L149" s="25"/>
    </row>
    <row r="150" spans="2:13" ht="12.75">
      <c r="B150" t="s">
        <v>129</v>
      </c>
      <c r="E150" s="13" t="s">
        <v>128</v>
      </c>
      <c r="F150" s="9" t="s">
        <v>13</v>
      </c>
      <c r="G150" s="28" t="s">
        <v>259</v>
      </c>
      <c r="H150" s="25"/>
      <c r="I150" s="25"/>
      <c r="J150" s="25"/>
      <c r="K150" s="25"/>
      <c r="L150" s="25"/>
      <c r="M150" s="25"/>
    </row>
    <row r="151" spans="5:12" ht="12.75">
      <c r="E151" s="25"/>
      <c r="F151" s="25"/>
      <c r="G151" s="25"/>
      <c r="H151" s="25"/>
      <c r="I151" s="25"/>
      <c r="J151" s="25"/>
      <c r="K151" s="25"/>
      <c r="L151" s="25"/>
    </row>
    <row r="152" spans="5:12" ht="12.75">
      <c r="E152" s="25"/>
      <c r="F152" s="25" t="s">
        <v>13</v>
      </c>
      <c r="G152" s="58">
        <f>+G116*G120+G128*G132+G136*G140+G144*G148</f>
        <v>736769.6489925444</v>
      </c>
      <c r="H152" s="25" t="s">
        <v>25</v>
      </c>
      <c r="I152" s="25"/>
      <c r="J152" s="25"/>
      <c r="K152" s="25"/>
      <c r="L152" s="25"/>
    </row>
    <row r="153" spans="5:12" ht="12.75">
      <c r="E153" s="25"/>
      <c r="F153" s="25"/>
      <c r="G153" s="25"/>
      <c r="H153" s="25"/>
      <c r="I153" s="25"/>
      <c r="J153" s="25"/>
      <c r="K153" s="25"/>
      <c r="L153" s="25"/>
    </row>
    <row r="154" spans="2:12" ht="12.75">
      <c r="B154" t="s">
        <v>45</v>
      </c>
      <c r="E154" s="9" t="s">
        <v>32</v>
      </c>
      <c r="F154" s="9" t="s">
        <v>13</v>
      </c>
      <c r="G154" s="21" t="s">
        <v>128</v>
      </c>
      <c r="H154" s="25"/>
      <c r="I154" s="25"/>
      <c r="J154" s="25"/>
      <c r="K154" s="25"/>
      <c r="L154" s="25"/>
    </row>
    <row r="155" spans="5:12" ht="12.75">
      <c r="E155" s="9"/>
      <c r="F155" s="9"/>
      <c r="G155" s="6" t="s">
        <v>24</v>
      </c>
      <c r="H155" s="25"/>
      <c r="I155" s="25"/>
      <c r="J155" s="25"/>
      <c r="K155" s="25"/>
      <c r="L155" s="54"/>
    </row>
    <row r="156" spans="5:12" ht="12.75">
      <c r="E156" s="25"/>
      <c r="F156" s="25"/>
      <c r="G156" s="25"/>
      <c r="H156" s="25"/>
      <c r="I156" s="25"/>
      <c r="J156" s="25"/>
      <c r="K156" s="25"/>
      <c r="L156" s="25"/>
    </row>
    <row r="157" spans="5:12" ht="12.75">
      <c r="E157" s="25"/>
      <c r="F157" s="25"/>
      <c r="G157" s="71">
        <f>+G152/G112</f>
        <v>4.813654352070986</v>
      </c>
      <c r="H157" s="64" t="str">
        <f>IF(G157&gt;=I157,"≥","&lt;")</f>
        <v>≥</v>
      </c>
      <c r="I157" s="85">
        <v>2</v>
      </c>
      <c r="J157" s="64" t="str">
        <f>IF(G157&gt;=I157,"O.K","F")</f>
        <v>O.K</v>
      </c>
      <c r="K157" s="25"/>
      <c r="L157" s="25"/>
    </row>
    <row r="158" spans="5:12" ht="12.75">
      <c r="E158" s="25"/>
      <c r="F158" s="25"/>
      <c r="G158" s="25"/>
      <c r="H158" s="25"/>
      <c r="I158" s="25"/>
      <c r="J158" s="25"/>
      <c r="K158" s="25"/>
      <c r="L158" s="25"/>
    </row>
    <row r="159" spans="1:13" ht="12.75">
      <c r="A159" s="11">
        <v>3</v>
      </c>
      <c r="B159" s="11" t="s">
        <v>62</v>
      </c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5:13" ht="12.75"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2:13" ht="12.75">
      <c r="B161" t="s">
        <v>46</v>
      </c>
      <c r="E161" s="50" t="s">
        <v>93</v>
      </c>
      <c r="F161" s="25" t="s">
        <v>13</v>
      </c>
      <c r="G161" s="28" t="s">
        <v>258</v>
      </c>
      <c r="H161" s="25"/>
      <c r="I161" s="25"/>
      <c r="J161" s="25"/>
      <c r="K161" s="25"/>
      <c r="L161" s="25"/>
      <c r="M161" s="25"/>
    </row>
    <row r="162" spans="5:13" ht="12.75"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5:13" ht="12.75">
      <c r="E163" s="25"/>
      <c r="F163" s="25" t="s">
        <v>13</v>
      </c>
      <c r="G163" s="58">
        <f>+G116+G128+G136+G144</f>
        <v>57459.09104724806</v>
      </c>
      <c r="H163" s="25" t="s">
        <v>47</v>
      </c>
      <c r="I163" s="25"/>
      <c r="J163" s="25"/>
      <c r="K163" s="25"/>
      <c r="L163" s="25"/>
      <c r="M163" s="25"/>
    </row>
    <row r="164" spans="5:13" ht="12.75">
      <c r="E164" s="25"/>
      <c r="F164" s="25"/>
      <c r="G164" s="25"/>
      <c r="I164" s="25"/>
      <c r="J164" s="25"/>
      <c r="K164" s="25"/>
      <c r="L164" s="25"/>
      <c r="M164" s="25"/>
    </row>
    <row r="165" spans="2:13" ht="12.75">
      <c r="B165" t="s">
        <v>63</v>
      </c>
      <c r="E165" s="25" t="s">
        <v>51</v>
      </c>
      <c r="F165" s="25" t="s">
        <v>13</v>
      </c>
      <c r="G165" s="50" t="s">
        <v>93</v>
      </c>
      <c r="H165" s="25" t="s">
        <v>34</v>
      </c>
      <c r="I165" s="25"/>
      <c r="J165" s="25"/>
      <c r="K165" s="25"/>
      <c r="L165" s="25"/>
      <c r="M165" s="25"/>
    </row>
    <row r="166" spans="5:13" ht="12.75">
      <c r="E166" s="25"/>
      <c r="F166" s="25"/>
      <c r="G166" s="36"/>
      <c r="H166" s="25"/>
      <c r="I166" s="25"/>
      <c r="J166" s="25"/>
      <c r="K166" s="25"/>
      <c r="L166" s="25"/>
      <c r="M166" s="25"/>
    </row>
    <row r="167" spans="5:13" ht="12.75">
      <c r="E167" s="25"/>
      <c r="F167" s="25" t="s">
        <v>13</v>
      </c>
      <c r="G167" s="58">
        <f>+G163</f>
        <v>57459.09104724806</v>
      </c>
      <c r="H167" s="58">
        <f>TAN(RADIANS(H50))</f>
        <v>0.4663076581549986</v>
      </c>
      <c r="I167" s="25"/>
      <c r="J167" s="25"/>
      <c r="K167" s="25"/>
      <c r="L167" s="25"/>
      <c r="M167" s="25"/>
    </row>
    <row r="168" spans="5:13" ht="12.75"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5:13" ht="12.75">
      <c r="E169" s="25"/>
      <c r="F169" s="25" t="s">
        <v>13</v>
      </c>
      <c r="G169" s="58">
        <f>+G167*H167</f>
        <v>26793.61418595709</v>
      </c>
      <c r="H169" s="25"/>
      <c r="I169" s="25"/>
      <c r="J169" s="25"/>
      <c r="K169" s="25"/>
      <c r="L169" s="25"/>
      <c r="M169" s="25"/>
    </row>
    <row r="170" spans="5:13" ht="12.75"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2:13" ht="12.75">
      <c r="B171" t="s">
        <v>48</v>
      </c>
      <c r="E171" s="25" t="s">
        <v>33</v>
      </c>
      <c r="F171" s="25" t="s">
        <v>13</v>
      </c>
      <c r="G171" s="26" t="s">
        <v>51</v>
      </c>
      <c r="H171" s="25"/>
      <c r="I171" s="25"/>
      <c r="J171" s="25"/>
      <c r="K171" s="25"/>
      <c r="L171" s="25"/>
      <c r="M171" s="25"/>
    </row>
    <row r="172" spans="5:13" ht="12.75">
      <c r="E172" s="25"/>
      <c r="F172" s="25"/>
      <c r="G172" s="25" t="s">
        <v>176</v>
      </c>
      <c r="H172" s="25"/>
      <c r="I172" s="25"/>
      <c r="J172" s="25"/>
      <c r="K172" s="25"/>
      <c r="L172" s="25"/>
      <c r="M172" s="25"/>
    </row>
    <row r="173" spans="5:13" ht="12.75"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5:13" ht="12.75">
      <c r="E174" s="25"/>
      <c r="F174" s="25"/>
      <c r="G174" s="72">
        <f>+G169/G104</f>
        <v>1.6865988725916516</v>
      </c>
      <c r="H174" s="58" t="str">
        <f>IF(G174&gt;=I174,"≥","&lt;")</f>
        <v>≥</v>
      </c>
      <c r="I174" s="85">
        <v>1.5</v>
      </c>
      <c r="J174" s="58" t="str">
        <f>IF(G174&gt;=I174,"O.K","F")</f>
        <v>O.K</v>
      </c>
      <c r="K174" s="25"/>
      <c r="L174" s="25"/>
      <c r="M174" s="25"/>
    </row>
    <row r="175" spans="5:13" ht="12.75"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5:13" ht="12.75"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ht="12.75">
      <c r="A177" s="11">
        <v>4</v>
      </c>
      <c r="B177" s="11" t="s">
        <v>197</v>
      </c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2:13" ht="12.75">
      <c r="B178" t="s">
        <v>94</v>
      </c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5:13" ht="12.75"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2:13" ht="12.75">
      <c r="B180" t="s">
        <v>64</v>
      </c>
      <c r="E180" s="9" t="s">
        <v>35</v>
      </c>
      <c r="F180" s="9" t="s">
        <v>13</v>
      </c>
      <c r="G180" s="25" t="s">
        <v>131</v>
      </c>
      <c r="H180" s="25" t="s">
        <v>17</v>
      </c>
      <c r="I180" s="21" t="s">
        <v>132</v>
      </c>
      <c r="J180" s="26" t="s">
        <v>17</v>
      </c>
      <c r="K180" s="14" t="s">
        <v>133</v>
      </c>
      <c r="L180" s="25"/>
      <c r="M180" s="25"/>
    </row>
    <row r="181" spans="5:13" ht="12.75">
      <c r="E181" s="9"/>
      <c r="F181" s="9"/>
      <c r="G181" s="25"/>
      <c r="H181" s="25"/>
      <c r="I181" s="13"/>
      <c r="J181" s="22" t="s">
        <v>93</v>
      </c>
      <c r="K181" s="6"/>
      <c r="L181" s="25"/>
      <c r="M181" s="25"/>
    </row>
    <row r="182" spans="5:13" ht="12.75">
      <c r="E182" s="9"/>
      <c r="F182" s="9"/>
      <c r="G182" s="25"/>
      <c r="H182" s="25"/>
      <c r="I182" s="13"/>
      <c r="J182" s="25"/>
      <c r="K182" s="6"/>
      <c r="L182" s="25"/>
      <c r="M182" s="25"/>
    </row>
    <row r="183" spans="5:13" ht="12.75">
      <c r="E183" s="9"/>
      <c r="F183" s="9" t="s">
        <v>13</v>
      </c>
      <c r="G183" s="58">
        <f>0.5*H59</f>
        <v>9</v>
      </c>
      <c r="H183" s="25" t="s">
        <v>17</v>
      </c>
      <c r="I183" s="65">
        <f>(+G152-G112)/G163</f>
        <v>10.158729623725542</v>
      </c>
      <c r="J183" s="25"/>
      <c r="K183" s="6"/>
      <c r="L183" s="9"/>
      <c r="M183" s="25"/>
    </row>
    <row r="184" spans="5:13" ht="12.75">
      <c r="E184" s="9"/>
      <c r="F184" s="9"/>
      <c r="G184" s="25"/>
      <c r="H184" s="25"/>
      <c r="I184" s="13"/>
      <c r="J184" s="25"/>
      <c r="K184" s="6"/>
      <c r="L184" s="25"/>
      <c r="M184" s="25"/>
    </row>
    <row r="185" spans="5:13" ht="12.75">
      <c r="E185" s="9"/>
      <c r="F185" s="9" t="s">
        <v>13</v>
      </c>
      <c r="G185" s="8" t="s">
        <v>66</v>
      </c>
      <c r="H185" s="9" t="s">
        <v>49</v>
      </c>
      <c r="I185" s="25" t="s">
        <v>35</v>
      </c>
      <c r="J185" s="9" t="s">
        <v>49</v>
      </c>
      <c r="K185" s="8" t="s">
        <v>65</v>
      </c>
      <c r="L185" s="25"/>
      <c r="M185" s="25"/>
    </row>
    <row r="186" spans="5:13" ht="12.75">
      <c r="E186" s="9"/>
      <c r="F186" s="9"/>
      <c r="G186" s="25"/>
      <c r="H186" s="25"/>
      <c r="I186" s="13"/>
      <c r="J186" s="25"/>
      <c r="K186" s="6"/>
      <c r="L186" s="25"/>
      <c r="M186" s="25"/>
    </row>
    <row r="187" spans="5:13" ht="12.75">
      <c r="E187" s="9"/>
      <c r="F187" s="9" t="s">
        <v>13</v>
      </c>
      <c r="G187" s="64">
        <f>-H59/6</f>
        <v>-3</v>
      </c>
      <c r="H187" s="64" t="str">
        <f>IF(I187&gt;=G187,"≤","&gt;")</f>
        <v>≤</v>
      </c>
      <c r="I187" s="66">
        <f>+G183-I183</f>
        <v>-1.1587296237255416</v>
      </c>
      <c r="J187" s="64" t="str">
        <f>IF(K187&gt;=I187,"≤","&gt;")</f>
        <v>≤</v>
      </c>
      <c r="K187" s="60">
        <f>+H59/6</f>
        <v>3</v>
      </c>
      <c r="L187" s="25"/>
      <c r="M187" s="25"/>
    </row>
    <row r="188" spans="5:13" ht="12.75">
      <c r="E188" s="9"/>
      <c r="F188" s="9"/>
      <c r="G188" s="45"/>
      <c r="H188" s="64" t="str">
        <f>IF(I187&gt;=G187,"O.K","F")</f>
        <v>O.K</v>
      </c>
      <c r="I188" s="48"/>
      <c r="J188" s="64" t="str">
        <f>IF(K187&gt;=I187,"O.K","F")</f>
        <v>O.K</v>
      </c>
      <c r="K188" s="12"/>
      <c r="L188" s="25"/>
      <c r="M188" s="25"/>
    </row>
    <row r="189" spans="5:13" ht="12.75">
      <c r="E189" s="9"/>
      <c r="F189" s="9"/>
      <c r="G189" s="45"/>
      <c r="H189" s="45"/>
      <c r="I189" s="48"/>
      <c r="J189" s="45"/>
      <c r="K189" s="12"/>
      <c r="L189" s="25"/>
      <c r="M189" s="25"/>
    </row>
    <row r="190" spans="1:13" ht="12.75">
      <c r="A190" s="11">
        <v>5</v>
      </c>
      <c r="B190" s="11" t="s">
        <v>67</v>
      </c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5:13" ht="12.75"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2:13" ht="12.75">
      <c r="B192" t="s">
        <v>76</v>
      </c>
      <c r="E192" s="25" t="s">
        <v>37</v>
      </c>
      <c r="F192" s="25" t="s">
        <v>13</v>
      </c>
      <c r="G192" s="26"/>
      <c r="H192" s="33" t="s">
        <v>93</v>
      </c>
      <c r="I192" s="26"/>
      <c r="J192" s="27"/>
      <c r="K192" s="25"/>
      <c r="L192" s="25"/>
      <c r="M192" s="25"/>
    </row>
    <row r="193" spans="2:13" ht="12.75">
      <c r="B193" t="s">
        <v>223</v>
      </c>
      <c r="E193" s="25"/>
      <c r="F193" s="25"/>
      <c r="G193" s="25" t="s">
        <v>22</v>
      </c>
      <c r="H193" s="25" t="s">
        <v>17</v>
      </c>
      <c r="I193" s="25" t="s">
        <v>103</v>
      </c>
      <c r="J193" s="25"/>
      <c r="K193" s="25"/>
      <c r="L193" s="25"/>
      <c r="M193" s="25"/>
    </row>
    <row r="194" spans="5:13" ht="12.75"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5:13" ht="12.75">
      <c r="E195" s="25"/>
      <c r="F195" s="25" t="s">
        <v>13</v>
      </c>
      <c r="G195" s="26"/>
      <c r="H195" s="57">
        <f>+G163</f>
        <v>57459.09104724806</v>
      </c>
      <c r="I195" s="26"/>
      <c r="J195" s="25"/>
      <c r="K195" s="25"/>
      <c r="L195" s="25"/>
      <c r="M195" s="25"/>
    </row>
    <row r="196" spans="5:13" ht="12.75">
      <c r="E196" s="25"/>
      <c r="F196" s="25"/>
      <c r="G196" s="58">
        <f>+H59</f>
        <v>18</v>
      </c>
      <c r="H196" s="25" t="s">
        <v>17</v>
      </c>
      <c r="I196" s="58">
        <f>2*IF(I187&lt;0,I187*-1,+I187)</f>
        <v>2.317459247451083</v>
      </c>
      <c r="J196" s="25"/>
      <c r="K196" s="25"/>
      <c r="L196" s="25"/>
      <c r="M196" s="25"/>
    </row>
    <row r="197" spans="5:13" ht="12.75"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5:13" ht="12.75">
      <c r="E198" s="25"/>
      <c r="F198" s="25" t="s">
        <v>13</v>
      </c>
      <c r="G198" s="72">
        <f>+H195/(G196-I196)</f>
        <v>3663.8891588985102</v>
      </c>
      <c r="H198" s="28" t="s">
        <v>38</v>
      </c>
      <c r="I198" s="64" t="str">
        <f>IF(J198&gt;=G198,"≤","&gt;")</f>
        <v>≤</v>
      </c>
      <c r="J198" s="25">
        <f>+H62</f>
        <v>4000</v>
      </c>
      <c r="K198" s="28" t="s">
        <v>260</v>
      </c>
      <c r="M198" s="25"/>
    </row>
    <row r="199" spans="5:13" ht="12.75">
      <c r="E199" s="25"/>
      <c r="F199" s="25"/>
      <c r="G199" s="25"/>
      <c r="H199" s="25"/>
      <c r="I199" s="64" t="str">
        <f>IF(J198&gt;=G198,"O.K","F")</f>
        <v>O.K</v>
      </c>
      <c r="J199" s="28"/>
      <c r="K199" s="25"/>
      <c r="L199" s="25"/>
      <c r="M199" s="25"/>
    </row>
    <row r="200" spans="5:13" ht="12.75"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0" ht="12.75">
      <c r="A201" s="11">
        <v>6</v>
      </c>
      <c r="B201" s="11" t="s">
        <v>198</v>
      </c>
      <c r="J201" s="15"/>
    </row>
    <row r="202" spans="6:17" ht="12.75">
      <c r="F202" s="9"/>
      <c r="G202" s="9"/>
      <c r="Q202" s="4"/>
    </row>
    <row r="203" spans="2:17" ht="12.75">
      <c r="B203" t="s">
        <v>180</v>
      </c>
      <c r="F203" s="9"/>
      <c r="G203" s="9"/>
      <c r="Q203" s="4"/>
    </row>
    <row r="204" spans="2:17" ht="12.75">
      <c r="B204" t="s">
        <v>181</v>
      </c>
      <c r="F204" s="9"/>
      <c r="G204" s="9"/>
      <c r="Q204" s="4"/>
    </row>
    <row r="205" spans="6:17" ht="12.75">
      <c r="F205" s="9"/>
      <c r="G205" s="9"/>
      <c r="Q205" s="4"/>
    </row>
    <row r="206" spans="2:17" ht="12.75">
      <c r="B206" t="s">
        <v>69</v>
      </c>
      <c r="E206" s="13" t="s">
        <v>95</v>
      </c>
      <c r="F206" s="25" t="s">
        <v>13</v>
      </c>
      <c r="G206" s="25" t="s">
        <v>146</v>
      </c>
      <c r="H206" s="25"/>
      <c r="I206" s="25"/>
      <c r="J206" s="25"/>
      <c r="K206" s="25"/>
      <c r="L206" s="25"/>
      <c r="M206" s="25"/>
      <c r="Q206" s="4"/>
    </row>
    <row r="207" spans="6:17" ht="12.75">
      <c r="F207" s="37"/>
      <c r="G207" s="25"/>
      <c r="H207" s="25"/>
      <c r="I207" s="25"/>
      <c r="J207" s="25"/>
      <c r="K207" s="25"/>
      <c r="L207" s="25"/>
      <c r="M207" s="25"/>
      <c r="Q207" s="4"/>
    </row>
    <row r="208" spans="2:17" ht="12.75">
      <c r="B208" t="s">
        <v>68</v>
      </c>
      <c r="E208" s="13" t="s">
        <v>40</v>
      </c>
      <c r="F208" s="25" t="s">
        <v>13</v>
      </c>
      <c r="G208" s="25" t="s">
        <v>147</v>
      </c>
      <c r="H208" s="94" t="s">
        <v>148</v>
      </c>
      <c r="I208" s="94"/>
      <c r="J208" s="25"/>
      <c r="K208" s="25"/>
      <c r="L208" s="25"/>
      <c r="M208" s="25"/>
      <c r="Q208" s="4"/>
    </row>
    <row r="209" spans="6:17" ht="12.75">
      <c r="F209" s="37"/>
      <c r="G209" s="25"/>
      <c r="H209" s="25"/>
      <c r="I209" s="25"/>
      <c r="J209" s="25"/>
      <c r="K209" s="25"/>
      <c r="L209" s="25"/>
      <c r="M209" s="25"/>
      <c r="Q209" s="4"/>
    </row>
    <row r="210" spans="1:17" ht="12.75" hidden="1">
      <c r="A210" t="s">
        <v>200</v>
      </c>
      <c r="B210" s="11" t="s">
        <v>199</v>
      </c>
      <c r="E210" s="38" t="s">
        <v>79</v>
      </c>
      <c r="G210" s="38" t="s">
        <v>139</v>
      </c>
      <c r="H210" s="38" t="s">
        <v>137</v>
      </c>
      <c r="I210" s="38"/>
      <c r="J210" s="38" t="s">
        <v>141</v>
      </c>
      <c r="K210" s="38"/>
      <c r="L210" s="38" t="s">
        <v>143</v>
      </c>
      <c r="M210" s="11"/>
      <c r="Q210" s="4"/>
    </row>
    <row r="211" spans="5:17" ht="12.75" hidden="1">
      <c r="E211" s="16" t="s">
        <v>149</v>
      </c>
      <c r="F211" s="37"/>
      <c r="G211" s="38" t="s">
        <v>140</v>
      </c>
      <c r="H211" s="38" t="s">
        <v>138</v>
      </c>
      <c r="I211" s="38" t="s">
        <v>68</v>
      </c>
      <c r="J211" s="38" t="s">
        <v>142</v>
      </c>
      <c r="K211" s="38"/>
      <c r="L211" s="38" t="s">
        <v>134</v>
      </c>
      <c r="M211" s="11"/>
      <c r="Q211" s="4"/>
    </row>
    <row r="212" spans="6:17" ht="12.75" hidden="1">
      <c r="F212" s="37"/>
      <c r="G212" s="38" t="s">
        <v>50</v>
      </c>
      <c r="H212" s="38" t="s">
        <v>135</v>
      </c>
      <c r="I212" s="38" t="s">
        <v>40</v>
      </c>
      <c r="J212" s="38" t="s">
        <v>134</v>
      </c>
      <c r="K212" s="38"/>
      <c r="L212" s="87">
        <f>+L230</f>
        <v>1.85</v>
      </c>
      <c r="M212" s="16"/>
      <c r="Q212" s="4"/>
    </row>
    <row r="213" spans="6:17" ht="12.75" hidden="1">
      <c r="F213" s="37"/>
      <c r="G213" s="37" t="s">
        <v>144</v>
      </c>
      <c r="H213" s="37" t="s">
        <v>144</v>
      </c>
      <c r="I213" s="37" t="s">
        <v>145</v>
      </c>
      <c r="J213" s="86">
        <f>+J231</f>
        <v>2900</v>
      </c>
      <c r="K213" s="38"/>
      <c r="L213" s="40"/>
      <c r="M213" s="16"/>
      <c r="N213" s="9"/>
      <c r="Q213" s="4"/>
    </row>
    <row r="214" spans="6:17" ht="12.75" hidden="1">
      <c r="F214" s="37"/>
      <c r="G214" s="25"/>
      <c r="H214" s="25"/>
      <c r="I214" s="25"/>
      <c r="J214" s="25" t="s">
        <v>40</v>
      </c>
      <c r="K214" s="25"/>
      <c r="L214" s="39"/>
      <c r="N214" s="9"/>
      <c r="Q214" s="4"/>
    </row>
    <row r="215" spans="6:17" ht="12.75" hidden="1">
      <c r="F215" s="37"/>
      <c r="G215" s="41"/>
      <c r="H215" s="25"/>
      <c r="I215" s="25"/>
      <c r="J215" s="25"/>
      <c r="K215" s="25"/>
      <c r="L215" s="25"/>
      <c r="M215" s="39"/>
      <c r="N215" s="9"/>
      <c r="Q215" s="4"/>
    </row>
    <row r="216" spans="5:17" ht="12.75" hidden="1">
      <c r="E216" s="41">
        <v>10</v>
      </c>
      <c r="F216" s="37"/>
      <c r="G216" s="67">
        <f>IF(H58-27&lt;=0,0,H58-27)</f>
        <v>0</v>
      </c>
      <c r="H216" s="58" t="str">
        <f>IF(G216=0,"-",IF(+G217=0,0,(+G217-G216)/2)+IF(+G215=0,G216,(+G216-G215)/2))</f>
        <v>-</v>
      </c>
      <c r="I216" s="58" t="str">
        <f>IF(G216=0,"-",+G90*H216*(H56*G216+H55))</f>
        <v>-</v>
      </c>
      <c r="J216" s="58" t="str">
        <f>IF(G216=0,"-",J213/I216)</f>
        <v>-</v>
      </c>
      <c r="K216" s="58" t="str">
        <f aca="true" t="shared" si="0" ref="K216:K225">IF(G216=0,"-",IF(J216&gt;=L216,"≥","&lt;"))</f>
        <v>-</v>
      </c>
      <c r="L216" s="69" t="str">
        <f>IF(G216=0,"-",+L212)</f>
        <v>-</v>
      </c>
      <c r="M216" s="69" t="str">
        <f>IF(G216=0,"-",IF(J216&gt;=L216,"OK","F"))</f>
        <v>-</v>
      </c>
      <c r="N216" s="9"/>
      <c r="O216" s="17"/>
      <c r="Q216" s="4"/>
    </row>
    <row r="217" spans="5:17" ht="12.75" hidden="1">
      <c r="E217" s="41">
        <v>9</v>
      </c>
      <c r="F217" s="37"/>
      <c r="G217" s="67">
        <f>IF(H58-24&lt;=0,0,H58-24)</f>
        <v>0</v>
      </c>
      <c r="H217" s="58" t="str">
        <f aca="true" t="shared" si="1" ref="H217:H224">IF(G217=0,"-",IF(+G218=0,0,(+G218-G217)/2)+IF(+G216=0,G217,(+G217-G216)/2))</f>
        <v>-</v>
      </c>
      <c r="I217" s="58" t="str">
        <f>IF(G217=0,"-",+G90*H217*(H56*G217+H55))</f>
        <v>-</v>
      </c>
      <c r="J217" s="58" t="str">
        <f>IF(G217=0,"-",J213/I217)</f>
        <v>-</v>
      </c>
      <c r="K217" s="58" t="str">
        <f t="shared" si="0"/>
        <v>-</v>
      </c>
      <c r="L217" s="69" t="str">
        <f>IF(G217=0,"-",+L212)</f>
        <v>-</v>
      </c>
      <c r="M217" s="70" t="str">
        <f>IF(G217=0,"-",IF(J217&gt;=L217,"OK","F"))</f>
        <v>-</v>
      </c>
      <c r="N217" s="9"/>
      <c r="Q217" s="4"/>
    </row>
    <row r="218" spans="5:17" ht="12.75" hidden="1">
      <c r="E218" s="41">
        <v>8</v>
      </c>
      <c r="F218" s="37"/>
      <c r="G218" s="67">
        <f>IF(H58-21&lt;=0,0,H58-21)</f>
        <v>3</v>
      </c>
      <c r="H218" s="58">
        <f t="shared" si="1"/>
        <v>4.5</v>
      </c>
      <c r="I218" s="58">
        <f>IF(G218=0,"-",+G90*H218*(H56*G218+H55))</f>
        <v>859.9022104869036</v>
      </c>
      <c r="J218" s="58">
        <f>IF(G218=0,"-",J213/I218)</f>
        <v>3.372476503296728</v>
      </c>
      <c r="K218" s="58" t="str">
        <f t="shared" si="0"/>
        <v>≥</v>
      </c>
      <c r="L218" s="69">
        <f>IF(G218=0,"-",+L212)</f>
        <v>1.85</v>
      </c>
      <c r="M218" s="69" t="str">
        <f aca="true" t="shared" si="2" ref="M218:M225">IF(G218=0,"-",IF(J218&gt;=L218,"OK","F"))</f>
        <v>OK</v>
      </c>
      <c r="O218" s="17"/>
      <c r="Q218" s="4"/>
    </row>
    <row r="219" spans="5:17" ht="12.75" hidden="1">
      <c r="E219" s="41">
        <v>7</v>
      </c>
      <c r="F219" s="37"/>
      <c r="G219" s="67">
        <f>IF(H58-18&lt;=0,0,H58-18)</f>
        <v>6</v>
      </c>
      <c r="H219" s="58">
        <f t="shared" si="1"/>
        <v>3</v>
      </c>
      <c r="I219" s="58">
        <f>IF(G219=0,"-",+G90*H219*(H56*G219+H55))</f>
        <v>911.5903214997776</v>
      </c>
      <c r="J219" s="58">
        <f>IF(G219=0,"-",J213/I219)</f>
        <v>3.1812536087799037</v>
      </c>
      <c r="K219" s="58" t="str">
        <f t="shared" si="0"/>
        <v>≥</v>
      </c>
      <c r="L219" s="69">
        <f>IF(G219=0,"-",+L212)</f>
        <v>1.85</v>
      </c>
      <c r="M219" s="69" t="str">
        <f t="shared" si="2"/>
        <v>OK</v>
      </c>
      <c r="Q219" s="4"/>
    </row>
    <row r="220" spans="5:17" ht="12.75" hidden="1">
      <c r="E220" s="41">
        <v>6</v>
      </c>
      <c r="F220" s="37"/>
      <c r="G220" s="67">
        <f>IF(H58-15&lt;=0,0,H58-15)</f>
        <v>9</v>
      </c>
      <c r="H220" s="58">
        <f t="shared" si="1"/>
        <v>3</v>
      </c>
      <c r="I220" s="58">
        <f>IF(G220=0,"-",+G90*H220*(H56*G220+H55))</f>
        <v>1249.9125026749527</v>
      </c>
      <c r="J220" s="58">
        <f>IF(G220=0,"-",J213/I220)</f>
        <v>2.3201624064033886</v>
      </c>
      <c r="K220" s="58" t="str">
        <f t="shared" si="0"/>
        <v>≥</v>
      </c>
      <c r="L220" s="69">
        <f>IF(G220=0,"-",+L212)</f>
        <v>1.85</v>
      </c>
      <c r="M220" s="69" t="str">
        <f t="shared" si="2"/>
        <v>OK</v>
      </c>
      <c r="Q220" s="4"/>
    </row>
    <row r="221" spans="5:17" ht="12.75" hidden="1">
      <c r="E221" s="41">
        <v>5</v>
      </c>
      <c r="F221" s="37"/>
      <c r="G221" s="67">
        <f>IF(H58-12&lt;=0,0,H58-12)</f>
        <v>12</v>
      </c>
      <c r="H221" s="58">
        <f t="shared" si="1"/>
        <v>3</v>
      </c>
      <c r="I221" s="58">
        <f>IF(G221=0,"-",+G90*H221*(H56*G221+H55))</f>
        <v>1588.2346838501278</v>
      </c>
      <c r="J221" s="58">
        <f>IF(G221=0,"-",J213/I221)</f>
        <v>1.8259266275245603</v>
      </c>
      <c r="K221" s="58" t="str">
        <f t="shared" si="0"/>
        <v>&lt;</v>
      </c>
      <c r="L221" s="69">
        <f>IF(G221=0,"-",+L212)</f>
        <v>1.85</v>
      </c>
      <c r="M221" s="69" t="str">
        <f t="shared" si="2"/>
        <v>F</v>
      </c>
      <c r="Q221" s="4"/>
    </row>
    <row r="222" spans="5:17" ht="12.75" hidden="1">
      <c r="E222" s="41">
        <v>4</v>
      </c>
      <c r="F222" s="37"/>
      <c r="G222" s="67">
        <f>IF(H58-9&lt;=0,0,H58-9)</f>
        <v>15</v>
      </c>
      <c r="H222" s="58">
        <f t="shared" si="1"/>
        <v>3</v>
      </c>
      <c r="I222" s="58">
        <f>IF(G222=0,"-",+G90*H222*(H56*G222+H55))</f>
        <v>1926.556865025303</v>
      </c>
      <c r="J222" s="58">
        <f>IF(G222=0,"-",J213/I222)</f>
        <v>1.50527609781293</v>
      </c>
      <c r="K222" s="58" t="str">
        <f t="shared" si="0"/>
        <v>&lt;</v>
      </c>
      <c r="L222" s="69">
        <f>IF(G222=0,"-",+L212)</f>
        <v>1.85</v>
      </c>
      <c r="M222" s="69" t="str">
        <f t="shared" si="2"/>
        <v>F</v>
      </c>
      <c r="Q222" s="4"/>
    </row>
    <row r="223" spans="5:17" ht="12.75" hidden="1">
      <c r="E223" s="41">
        <v>3</v>
      </c>
      <c r="F223" s="37"/>
      <c r="G223" s="67">
        <f>IF(H58-6&lt;=0,0,H58-6)</f>
        <v>18</v>
      </c>
      <c r="H223" s="58">
        <f t="shared" si="1"/>
        <v>3</v>
      </c>
      <c r="I223" s="58">
        <f>IF(G223=0,"-",+G90*H223*(H56*G223+H55))</f>
        <v>2264.879046200478</v>
      </c>
      <c r="J223" s="58">
        <f>IF(G223=0,"-",J213/I223)</f>
        <v>1.2804215769778036</v>
      </c>
      <c r="K223" s="58" t="str">
        <f t="shared" si="0"/>
        <v>&lt;</v>
      </c>
      <c r="L223" s="69">
        <f>IF(G223=0,"-",+L212)</f>
        <v>1.85</v>
      </c>
      <c r="M223" s="70" t="str">
        <f t="shared" si="2"/>
        <v>F</v>
      </c>
      <c r="Q223" s="4"/>
    </row>
    <row r="224" spans="5:17" ht="12.75" hidden="1">
      <c r="E224" s="41">
        <v>2</v>
      </c>
      <c r="F224" s="37"/>
      <c r="G224" s="68">
        <f>IF(H58-3&lt;=0,0,H58-3)</f>
        <v>21</v>
      </c>
      <c r="H224" s="58">
        <f t="shared" si="1"/>
        <v>3</v>
      </c>
      <c r="I224" s="58">
        <f>IF(G224=0,"-",+G90*H224*(H56*G224+H55))</f>
        <v>2603.2012273756536</v>
      </c>
      <c r="J224" s="58">
        <f>IF(G224=0,"-",J213/I224)</f>
        <v>1.114012996576356</v>
      </c>
      <c r="K224" s="58" t="str">
        <f t="shared" si="0"/>
        <v>&lt;</v>
      </c>
      <c r="L224" s="69">
        <f>IF(G224=0,"-",+L212)</f>
        <v>1.85</v>
      </c>
      <c r="M224" s="69" t="str">
        <f t="shared" si="2"/>
        <v>F</v>
      </c>
      <c r="Q224" s="4"/>
    </row>
    <row r="225" spans="5:17" ht="12.75" hidden="1">
      <c r="E225" s="41">
        <v>1</v>
      </c>
      <c r="F225" s="37"/>
      <c r="G225" s="68">
        <f>IF(H58-0&lt;=0,0,H58-0)</f>
        <v>24</v>
      </c>
      <c r="H225" s="58">
        <f>IF(G225=0,"-",IF(+G227=0,0,(+G227-G225)/2)+IF(+G224=0,G225,(+G225-G224)/2))</f>
        <v>1.5</v>
      </c>
      <c r="I225" s="58">
        <f>IF(G225=0,"-",+G90*H225*(H56*G225+H55))</f>
        <v>1470.7617042754143</v>
      </c>
      <c r="J225" s="58">
        <f>IF(G225=0,"-",J213/I225)</f>
        <v>1.9717674124706113</v>
      </c>
      <c r="K225" s="58" t="str">
        <f t="shared" si="0"/>
        <v>≥</v>
      </c>
      <c r="L225" s="69">
        <f>IF(G225=0,"-",+L212)</f>
        <v>1.85</v>
      </c>
      <c r="M225" s="69" t="str">
        <f t="shared" si="2"/>
        <v>OK</v>
      </c>
      <c r="Q225" s="4"/>
    </row>
    <row r="226" spans="5:17" ht="12.75" hidden="1">
      <c r="E226" s="41"/>
      <c r="F226" s="37"/>
      <c r="G226" s="9"/>
      <c r="H226" s="25"/>
      <c r="I226" s="25"/>
      <c r="J226" s="25"/>
      <c r="K226" s="25"/>
      <c r="L226" s="39"/>
      <c r="M226" s="39"/>
      <c r="Q226" s="4"/>
    </row>
    <row r="227" spans="1:17" ht="12.75" hidden="1">
      <c r="A227" t="s">
        <v>202</v>
      </c>
      <c r="B227" s="11" t="s">
        <v>201</v>
      </c>
      <c r="F227" s="37"/>
      <c r="G227" s="41"/>
      <c r="H227" s="25"/>
      <c r="I227" s="25"/>
      <c r="J227" s="25"/>
      <c r="K227" s="25"/>
      <c r="L227" s="25"/>
      <c r="M227" s="39"/>
      <c r="Q227" s="4"/>
    </row>
    <row r="228" spans="5:17" ht="12.75">
      <c r="E228" s="38" t="s">
        <v>79</v>
      </c>
      <c r="G228" s="38" t="s">
        <v>139</v>
      </c>
      <c r="H228" s="38" t="s">
        <v>137</v>
      </c>
      <c r="I228" s="38"/>
      <c r="J228" s="38" t="s">
        <v>141</v>
      </c>
      <c r="K228" s="38"/>
      <c r="L228" s="38" t="s">
        <v>143</v>
      </c>
      <c r="M228" s="11"/>
      <c r="Q228" s="4"/>
    </row>
    <row r="229" spans="2:17" ht="12.75">
      <c r="B229" s="11"/>
      <c r="E229" s="16" t="s">
        <v>149</v>
      </c>
      <c r="F229" s="37"/>
      <c r="G229" s="38" t="s">
        <v>140</v>
      </c>
      <c r="H229" s="38" t="s">
        <v>138</v>
      </c>
      <c r="I229" s="38" t="s">
        <v>68</v>
      </c>
      <c r="J229" s="38" t="s">
        <v>142</v>
      </c>
      <c r="K229" s="38"/>
      <c r="L229" s="38" t="s">
        <v>134</v>
      </c>
      <c r="M229" s="11"/>
      <c r="Q229" s="4"/>
    </row>
    <row r="230" spans="6:17" ht="12.75">
      <c r="F230" s="37"/>
      <c r="G230" s="38" t="s">
        <v>50</v>
      </c>
      <c r="H230" s="38" t="s">
        <v>135</v>
      </c>
      <c r="I230" s="38" t="s">
        <v>40</v>
      </c>
      <c r="J230" s="38" t="s">
        <v>134</v>
      </c>
      <c r="K230" s="38"/>
      <c r="L230" s="87">
        <v>1.85</v>
      </c>
      <c r="M230" s="16"/>
      <c r="Q230" s="4"/>
    </row>
    <row r="231" spans="6:17" ht="12.75">
      <c r="F231" s="37"/>
      <c r="G231" s="37" t="s">
        <v>144</v>
      </c>
      <c r="H231" s="37" t="s">
        <v>144</v>
      </c>
      <c r="I231" s="37" t="s">
        <v>145</v>
      </c>
      <c r="J231" s="86">
        <v>2900</v>
      </c>
      <c r="K231" s="38"/>
      <c r="L231" s="40"/>
      <c r="M231" s="16"/>
      <c r="Q231" s="4"/>
    </row>
    <row r="232" spans="6:17" ht="12.75">
      <c r="F232" s="37"/>
      <c r="G232" s="25"/>
      <c r="H232" s="25"/>
      <c r="I232" s="25"/>
      <c r="J232" s="25" t="s">
        <v>40</v>
      </c>
      <c r="K232" s="25"/>
      <c r="L232" s="39"/>
      <c r="Q232" s="4"/>
    </row>
    <row r="233" spans="6:17" ht="12.75">
      <c r="F233" s="37"/>
      <c r="G233" s="41"/>
      <c r="H233" s="25"/>
      <c r="I233" s="25"/>
      <c r="J233" s="25"/>
      <c r="K233" s="25"/>
      <c r="L233" s="25"/>
      <c r="M233" s="39"/>
      <c r="Q233" s="4"/>
    </row>
    <row r="234" spans="5:17" ht="12.75">
      <c r="E234" s="67">
        <v>10</v>
      </c>
      <c r="F234" s="65"/>
      <c r="G234" s="67">
        <f>G216</f>
        <v>0</v>
      </c>
      <c r="H234" s="64" t="str">
        <f>IF(G234=0,"-",IF(G236=0,0,IF(G236=0,0,IF(G235=0,(G236-G234)/2,(G235-G234)/2)))+IF(G232=0,(G234-G232),IF(G233=0,(G234-G232)/2,(G234-G233)/2)))</f>
        <v>-</v>
      </c>
      <c r="I234" s="58" t="str">
        <f>IF(G234=0,"-",G90*H234*(H56*G234+H55))</f>
        <v>-</v>
      </c>
      <c r="J234" s="58" t="str">
        <f>IF(G234=0,"-",J231/I234)</f>
        <v>-</v>
      </c>
      <c r="K234" s="58" t="str">
        <f aca="true" t="shared" si="3" ref="K234:K252">IF(G234=0,"-",IF(J234&gt;=L234,"≥","&lt;"))</f>
        <v>-</v>
      </c>
      <c r="L234" s="69" t="str">
        <f>IF(G234=0,"-",+L230)</f>
        <v>-</v>
      </c>
      <c r="M234" s="69" t="str">
        <f aca="true" t="shared" si="4" ref="M234:M252">IF(G234=0,"-",IF(J234&gt;=L234,"OK","F"))</f>
        <v>-</v>
      </c>
      <c r="Q234" s="4"/>
    </row>
    <row r="235" spans="5:17" ht="12.75">
      <c r="E235" s="67" t="s">
        <v>168</v>
      </c>
      <c r="F235" s="65"/>
      <c r="G235" s="67">
        <f>IF(J216&lt;L216,(G234+G236)/2,0)</f>
        <v>0</v>
      </c>
      <c r="H235" s="64" t="str">
        <f>IF(G235=0,"-",(G236-G235)/2+(G235-G234)/2)</f>
        <v>-</v>
      </c>
      <c r="I235" s="58" t="str">
        <f>IF(G235=0,"-",G90*H235*(H56*G235+H55))</f>
        <v>-</v>
      </c>
      <c r="J235" s="58" t="str">
        <f>IF(G235=0,"-",J231/I235)</f>
        <v>-</v>
      </c>
      <c r="K235" s="58" t="str">
        <f t="shared" si="3"/>
        <v>-</v>
      </c>
      <c r="L235" s="69" t="str">
        <f>IF(G235=0,"-",+L230)</f>
        <v>-</v>
      </c>
      <c r="M235" s="69" t="str">
        <f t="shared" si="4"/>
        <v>-</v>
      </c>
      <c r="Q235" s="4"/>
    </row>
    <row r="236" spans="5:17" ht="12.75">
      <c r="E236" s="67">
        <v>9</v>
      </c>
      <c r="F236" s="65"/>
      <c r="G236" s="67">
        <f>G217</f>
        <v>0</v>
      </c>
      <c r="H236" s="64" t="str">
        <f>IF(G236=0,"-",IF(G238=0,0,IF(G238=0,0,IF(G237=0,(G238-G236)/2,(G237-G236)/2)))+IF(G234=0,(G236-G234),IF(G235=0,(G236-G234)/2,(G236-G235)/2)))</f>
        <v>-</v>
      </c>
      <c r="I236" s="58" t="str">
        <f>IF(G236=0,"-",+G90*H236*(H56*G236+H55))</f>
        <v>-</v>
      </c>
      <c r="J236" s="58" t="str">
        <f>IF(G236=0,"-",J231/I236)</f>
        <v>-</v>
      </c>
      <c r="K236" s="58" t="str">
        <f t="shared" si="3"/>
        <v>-</v>
      </c>
      <c r="L236" s="69" t="str">
        <f>IF(G236=0,"-",+L230)</f>
        <v>-</v>
      </c>
      <c r="M236" s="69" t="str">
        <f t="shared" si="4"/>
        <v>-</v>
      </c>
      <c r="Q236" s="4"/>
    </row>
    <row r="237" spans="5:17" ht="12.75">
      <c r="E237" s="67" t="s">
        <v>167</v>
      </c>
      <c r="F237" s="65"/>
      <c r="G237" s="67">
        <f>IF(J217&lt;L217,(G236+G238)/2,0)</f>
        <v>0</v>
      </c>
      <c r="H237" s="64" t="str">
        <f>IF(G237=0,"-",(G238-G237)/2+(G237-G236)/2)</f>
        <v>-</v>
      </c>
      <c r="I237" s="58" t="str">
        <f>IF(G237=0,"-",G90*H237*(H56*G237+H55))</f>
        <v>-</v>
      </c>
      <c r="J237" s="58" t="str">
        <f>IF(G237=0,"-",J231/I237)</f>
        <v>-</v>
      </c>
      <c r="K237" s="58" t="str">
        <f t="shared" si="3"/>
        <v>-</v>
      </c>
      <c r="L237" s="69" t="str">
        <f>IF(G237=0,"-",+L230)</f>
        <v>-</v>
      </c>
      <c r="M237" s="69" t="str">
        <f t="shared" si="4"/>
        <v>-</v>
      </c>
      <c r="Q237" s="4"/>
    </row>
    <row r="238" spans="5:17" ht="12.75">
      <c r="E238" s="67">
        <v>8</v>
      </c>
      <c r="F238" s="65"/>
      <c r="G238" s="67">
        <f>G218</f>
        <v>3</v>
      </c>
      <c r="H238" s="64">
        <f>IF(G238=0,"-",IF(G240=0,0,IF(G240=0,0,IF(G239=0,(G240-G238)/2,(G239-G238)/2)))+IF(G236=0,(G238-G236),IF(G237=0,(G238-G236)/2,(G238-G237)/2)))</f>
        <v>4.5</v>
      </c>
      <c r="I238" s="58">
        <f>IF(G238=0,"-",+G90*H238*(H56*G238+H55))</f>
        <v>859.9022104869036</v>
      </c>
      <c r="J238" s="58">
        <f>IF(G238=0,"-",J231/I238)</f>
        <v>3.372476503296728</v>
      </c>
      <c r="K238" s="58" t="str">
        <f t="shared" si="3"/>
        <v>≥</v>
      </c>
      <c r="L238" s="69">
        <f>IF(G238=0,"-",+L230)</f>
        <v>1.85</v>
      </c>
      <c r="M238" s="69" t="str">
        <f t="shared" si="4"/>
        <v>OK</v>
      </c>
      <c r="Q238" s="4"/>
    </row>
    <row r="239" spans="5:17" ht="12.75">
      <c r="E239" s="67" t="s">
        <v>152</v>
      </c>
      <c r="F239" s="65"/>
      <c r="G239" s="68">
        <f>IF(J218&lt;L218,(G238+G240)/2,0)</f>
        <v>0</v>
      </c>
      <c r="H239" s="64" t="str">
        <f>IF(G239=0,"-",(G240-G239)/2+(G239-G238)/2)</f>
        <v>-</v>
      </c>
      <c r="I239" s="58" t="str">
        <f>IF(G239=0,"-",+G90*H239*(H56*G239+H55))</f>
        <v>-</v>
      </c>
      <c r="J239" s="58" t="str">
        <f>IF(G239=0,"-",J231/I239)</f>
        <v>-</v>
      </c>
      <c r="K239" s="58" t="str">
        <f t="shared" si="3"/>
        <v>-</v>
      </c>
      <c r="L239" s="69" t="str">
        <f>IF(G239=0,"-",+L230)</f>
        <v>-</v>
      </c>
      <c r="M239" s="69" t="str">
        <f t="shared" si="4"/>
        <v>-</v>
      </c>
      <c r="Q239" s="4"/>
    </row>
    <row r="240" spans="5:17" ht="12.75">
      <c r="E240" s="67">
        <v>7</v>
      </c>
      <c r="F240" s="65"/>
      <c r="G240" s="67">
        <f>G219</f>
        <v>6</v>
      </c>
      <c r="H240" s="64">
        <f>IF(G240=0,"-",IF(G242=0,0,IF(G242=0,0,IF(G241=0,(G242-G240)/2,(G241-G240)/2)))+IF(G238=0,(G240-G238),IF(G239=0,(G240-G238)/2,(G240-G239)/2)))</f>
        <v>3</v>
      </c>
      <c r="I240" s="58">
        <f>IF(G240=0,"-",+G90*H240*(H56*G240+H55))</f>
        <v>911.5903214997776</v>
      </c>
      <c r="J240" s="58">
        <f>IF(G240=0,"-",J231/I240)</f>
        <v>3.1812536087799037</v>
      </c>
      <c r="K240" s="58" t="str">
        <f t="shared" si="3"/>
        <v>≥</v>
      </c>
      <c r="L240" s="69">
        <f>IF(G240=0,"-",+L230)</f>
        <v>1.85</v>
      </c>
      <c r="M240" s="69" t="str">
        <f t="shared" si="4"/>
        <v>OK</v>
      </c>
      <c r="Q240" s="4"/>
    </row>
    <row r="241" spans="5:17" ht="12.75">
      <c r="E241" s="67" t="s">
        <v>151</v>
      </c>
      <c r="F241" s="65"/>
      <c r="G241" s="68">
        <f>IF(J219&lt;L219,(G240+G242)/2,0)</f>
        <v>0</v>
      </c>
      <c r="H241" s="64" t="str">
        <f>IF(G241=0,"-",(G242-G241)/2+(G241-G240)/2)</f>
        <v>-</v>
      </c>
      <c r="I241" s="58" t="str">
        <f>IF(G241=0,"-",+G90*H241*(H56*G241+H55))</f>
        <v>-</v>
      </c>
      <c r="J241" s="58" t="str">
        <f>IF(G241=0,"-",J231/I241)</f>
        <v>-</v>
      </c>
      <c r="K241" s="58" t="str">
        <f t="shared" si="3"/>
        <v>-</v>
      </c>
      <c r="L241" s="69" t="str">
        <f>IF(G241=0,"-",+L230)</f>
        <v>-</v>
      </c>
      <c r="M241" s="69" t="str">
        <f t="shared" si="4"/>
        <v>-</v>
      </c>
      <c r="Q241" s="4"/>
    </row>
    <row r="242" spans="5:17" ht="12.75">
      <c r="E242" s="67">
        <v>6</v>
      </c>
      <c r="F242" s="65"/>
      <c r="G242" s="67">
        <f>G220</f>
        <v>9</v>
      </c>
      <c r="H242" s="64">
        <f>IF(G242=0,"-",IF(G244=0,0,IF(G244=0,0,IF(G243=0,(G244-G242)/2,(G243-G242)/2)))+IF(G240=0,(G242-G240),IF(G241=0,(G242-G240)/2,(G242-G241)/2)))</f>
        <v>3</v>
      </c>
      <c r="I242" s="58">
        <f>IF(G242=0,"-",+G90*H242*(H56*G242+H55))</f>
        <v>1249.9125026749527</v>
      </c>
      <c r="J242" s="58">
        <f>IF(G242=0,"-",J231/I242)</f>
        <v>2.3201624064033886</v>
      </c>
      <c r="K242" s="58" t="str">
        <f t="shared" si="3"/>
        <v>≥</v>
      </c>
      <c r="L242" s="69">
        <f>IF(G242=0,"-",+L230)</f>
        <v>1.85</v>
      </c>
      <c r="M242" s="69" t="str">
        <f t="shared" si="4"/>
        <v>OK</v>
      </c>
      <c r="Q242" s="4"/>
    </row>
    <row r="243" spans="5:17" ht="12.75">
      <c r="E243" s="67" t="s">
        <v>150</v>
      </c>
      <c r="F243" s="65"/>
      <c r="G243" s="68">
        <f>IF(J220&lt;L220,(G242+G244)/2,0)</f>
        <v>0</v>
      </c>
      <c r="H243" s="64" t="str">
        <f>IF(G243=0,"-",(G244-G243)/2+(G243-G242)/2)</f>
        <v>-</v>
      </c>
      <c r="I243" s="58" t="str">
        <f>IF(G243=0,"-",+G90*H243*(H56*G243+H55))</f>
        <v>-</v>
      </c>
      <c r="J243" s="58" t="str">
        <f>IF(G243=0,"-",J231/I243)</f>
        <v>-</v>
      </c>
      <c r="K243" s="58" t="str">
        <f t="shared" si="3"/>
        <v>-</v>
      </c>
      <c r="L243" s="69" t="str">
        <f>IF(G243=0,"-",+L230)</f>
        <v>-</v>
      </c>
      <c r="M243" s="69" t="str">
        <f t="shared" si="4"/>
        <v>-</v>
      </c>
      <c r="Q243" s="4"/>
    </row>
    <row r="244" spans="5:17" ht="12.75">
      <c r="E244" s="67">
        <v>5</v>
      </c>
      <c r="F244" s="65"/>
      <c r="G244" s="67">
        <f>G221</f>
        <v>12</v>
      </c>
      <c r="H244" s="64">
        <f>IF(G244=0,"-",IF(G246=0,0,IF(G246=0,0,IF(G245=0,(G246-G244)/2,(G245-G244)/2)))+IF(G242=0,(G244-G242),IF(G243=0,(G244-G242)/2,(G244-G243)/2)))</f>
        <v>2.25</v>
      </c>
      <c r="I244" s="58">
        <f>IF(G244=0,"-",+G90*H244*(H56*G244+H55))</f>
        <v>1191.176012887596</v>
      </c>
      <c r="J244" s="58">
        <f>IF(G244=0,"-",J231/I244)</f>
        <v>2.4345688366994134</v>
      </c>
      <c r="K244" s="58" t="str">
        <f t="shared" si="3"/>
        <v>≥</v>
      </c>
      <c r="L244" s="69">
        <f>IF(G244=0,"-",+L230)</f>
        <v>1.85</v>
      </c>
      <c r="M244" s="69" t="str">
        <f t="shared" si="4"/>
        <v>OK</v>
      </c>
      <c r="Q244" s="4"/>
    </row>
    <row r="245" spans="5:17" ht="12.75">
      <c r="E245" s="67" t="s">
        <v>108</v>
      </c>
      <c r="F245" s="65"/>
      <c r="G245" s="68">
        <f>IF(J221&lt;L221,(G244+G246)/2,0)</f>
        <v>13.5</v>
      </c>
      <c r="H245" s="64">
        <f>IF(G245=0,"-",(G246-G245)/2+(G245-G244)/2)</f>
        <v>1.5</v>
      </c>
      <c r="I245" s="58">
        <f>IF(G245=0,"-",+G90*H245*(H56*G245+H55))</f>
        <v>878.6978872188578</v>
      </c>
      <c r="J245" s="58">
        <f>IF(G245=0,"-",J231/I245)</f>
        <v>3.300337968466852</v>
      </c>
      <c r="K245" s="58" t="str">
        <f t="shared" si="3"/>
        <v>≥</v>
      </c>
      <c r="L245" s="69">
        <f>IF(G245=0,"-",+L230)</f>
        <v>1.85</v>
      </c>
      <c r="M245" s="69" t="str">
        <f t="shared" si="4"/>
        <v>OK</v>
      </c>
      <c r="Q245" s="4"/>
    </row>
    <row r="246" spans="5:17" ht="12.75">
      <c r="E246" s="67">
        <v>4</v>
      </c>
      <c r="F246" s="65"/>
      <c r="G246" s="67">
        <f>G222</f>
        <v>15</v>
      </c>
      <c r="H246" s="64">
        <f>IF(G246=0,"-",IF(G248=0,0,IF(G248=0,0,IF(G247=0,(G248-G246)/2,(G247-G246)/2)))+IF(G244=0,(G246-G244),IF(G245=0,(G246-G244)/2,(G246-G245)/2)))</f>
        <v>1.5</v>
      </c>
      <c r="I246" s="58">
        <f>IF(G246=0,"-",+G90*H246*(H56*G246+H55))</f>
        <v>963.2784325126515</v>
      </c>
      <c r="J246" s="58">
        <f>IF(G246=0,"-",J231/I246)</f>
        <v>3.01055219562586</v>
      </c>
      <c r="K246" s="58" t="str">
        <f t="shared" si="3"/>
        <v>≥</v>
      </c>
      <c r="L246" s="69">
        <f>IF(G246=0,"-",+L230)</f>
        <v>1.85</v>
      </c>
      <c r="M246" s="69" t="str">
        <f t="shared" si="4"/>
        <v>OK</v>
      </c>
      <c r="Q246" s="4"/>
    </row>
    <row r="247" spans="5:17" ht="12.75">
      <c r="E247" s="67" t="s">
        <v>101</v>
      </c>
      <c r="F247" s="65"/>
      <c r="G247" s="68">
        <f>IF(J222&lt;L222,(G246+G248)/2,0)</f>
        <v>16.5</v>
      </c>
      <c r="H247" s="64">
        <f>IF(G247=0,"-",(G248-G247)/2+(G247-G246)/2)</f>
        <v>1.5</v>
      </c>
      <c r="I247" s="58">
        <f>IF(G247=0,"-",+G90*H247*(H56*G247+H55))</f>
        <v>1047.8589778064454</v>
      </c>
      <c r="J247" s="58">
        <f>IF(G247=0,"-",J231/I247)</f>
        <v>2.7675479825260147</v>
      </c>
      <c r="K247" s="58" t="str">
        <f t="shared" si="3"/>
        <v>≥</v>
      </c>
      <c r="L247" s="69">
        <f>IF(G247=0,"-",+L230)</f>
        <v>1.85</v>
      </c>
      <c r="M247" s="69" t="str">
        <f t="shared" si="4"/>
        <v>OK</v>
      </c>
      <c r="Q247" s="4"/>
    </row>
    <row r="248" spans="5:17" ht="12.75">
      <c r="E248" s="67">
        <v>3</v>
      </c>
      <c r="F248" s="65"/>
      <c r="G248" s="67">
        <f>G223</f>
        <v>18</v>
      </c>
      <c r="H248" s="64">
        <f>IF(G248=0,"-",IF(G250=0,0,IF(G250=0,0,IF(G249=0,(G250-G248)/2,(G249-G248)/2)))+IF(G246=0,(G248-G246),IF(G247=0,(G248-G246)/2,(G248-G247)/2)))</f>
        <v>1.5</v>
      </c>
      <c r="I248" s="58">
        <f>IF(G248=0,"-",+G90*H248*(H56*G248+H55))</f>
        <v>1132.439523100239</v>
      </c>
      <c r="J248" s="58">
        <f>IF(G248=0,"-",J231/I248)</f>
        <v>2.560843153955607</v>
      </c>
      <c r="K248" s="58" t="str">
        <f t="shared" si="3"/>
        <v>≥</v>
      </c>
      <c r="L248" s="69">
        <f>IF(G248=0,"-",+L230)</f>
        <v>1.85</v>
      </c>
      <c r="M248" s="69" t="str">
        <f t="shared" si="4"/>
        <v>OK</v>
      </c>
      <c r="Q248" s="4"/>
    </row>
    <row r="249" spans="5:17" ht="12.75">
      <c r="E249" s="67" t="s">
        <v>100</v>
      </c>
      <c r="F249" s="65"/>
      <c r="G249" s="68">
        <f>IF(J223&lt;L223,(G248+G250)/2,0)</f>
        <v>19.5</v>
      </c>
      <c r="H249" s="64">
        <f>IF(G249=0,"-",(G250-G249)/2+(G249-G248)/2)</f>
        <v>1.5</v>
      </c>
      <c r="I249" s="58">
        <f>IF(G249=0,"-",+G90*H249*(H56*G249+H55))</f>
        <v>1217.020068394033</v>
      </c>
      <c r="J249" s="58">
        <f>IF(G249=0,"-",J231/I249)</f>
        <v>2.3828694984683447</v>
      </c>
      <c r="K249" s="58" t="str">
        <f t="shared" si="3"/>
        <v>≥</v>
      </c>
      <c r="L249" s="69">
        <f>IF(G249=0,"-",+L230)</f>
        <v>1.85</v>
      </c>
      <c r="M249" s="69" t="str">
        <f t="shared" si="4"/>
        <v>OK</v>
      </c>
      <c r="Q249" s="4"/>
    </row>
    <row r="250" spans="5:17" ht="12.75">
      <c r="E250" s="67">
        <v>2</v>
      </c>
      <c r="F250" s="65"/>
      <c r="G250" s="68">
        <f>G224</f>
        <v>21</v>
      </c>
      <c r="H250" s="64">
        <f>IF(G250=0,"-",IF(G252=0,0,IF(G252=0,0,IF(G251=0,(G252-G250)/2,(G251-G250)/2)))+IF(G248=0,(G250-G248),IF(G249=0,(G250-G248)/2,(G250-G249)/2)))</f>
        <v>1.5</v>
      </c>
      <c r="I250" s="58">
        <f>IF(G250=0,"-",+G90*H250*(H56*G250+H55))</f>
        <v>1301.6006136878268</v>
      </c>
      <c r="J250" s="58">
        <f>IF(G250=0,"-",J231/I250)</f>
        <v>2.228025993152712</v>
      </c>
      <c r="K250" s="58" t="str">
        <f t="shared" si="3"/>
        <v>≥</v>
      </c>
      <c r="L250" s="69">
        <f>IF(G250=0,"-",+L230)</f>
        <v>1.85</v>
      </c>
      <c r="M250" s="69" t="str">
        <f t="shared" si="4"/>
        <v>OK</v>
      </c>
      <c r="Q250" s="4"/>
    </row>
    <row r="251" spans="5:17" ht="12.75">
      <c r="E251" s="67" t="s">
        <v>99</v>
      </c>
      <c r="F251" s="65"/>
      <c r="G251" s="68">
        <f>IF(J224&lt;L224,(G250+G252)/2,0)</f>
        <v>22.5</v>
      </c>
      <c r="H251" s="64">
        <f>IF(G251=0,"-",(G252-G251)/2+(G251-G250)/2)</f>
        <v>1.5</v>
      </c>
      <c r="I251" s="58">
        <f>IF(G251=0,"-",+G90*H251*(H56*G251+H55))</f>
        <v>1386.1811589816205</v>
      </c>
      <c r="J251" s="58">
        <f>IF(G251=0,"-",J231/I251)</f>
        <v>2.092078644417971</v>
      </c>
      <c r="K251" s="58" t="str">
        <f t="shared" si="3"/>
        <v>≥</v>
      </c>
      <c r="L251" s="69">
        <f>IF(G251=0,"-",+L230)</f>
        <v>1.85</v>
      </c>
      <c r="M251" s="69" t="str">
        <f t="shared" si="4"/>
        <v>OK</v>
      </c>
      <c r="Q251" s="4"/>
    </row>
    <row r="252" spans="5:17" ht="12.75">
      <c r="E252" s="67">
        <v>1</v>
      </c>
      <c r="F252" s="65"/>
      <c r="G252" s="68">
        <f>G225</f>
        <v>24</v>
      </c>
      <c r="H252" s="64">
        <f>IF(G252=0,"-",IF(G255=0,0,IF(G255=0,0,IF(G253=0,(G255-G252)/2,(G253-G252)/2)))+IF(G250=0,(G252-G250),IF(G251=0,(G252-G250)/2,(G252-G251)/2)))</f>
        <v>0.75</v>
      </c>
      <c r="I252" s="58">
        <f>IF(G252=0,"-",+G90*H252*(H56*G252+H55))</f>
        <v>735.3808521377072</v>
      </c>
      <c r="J252" s="58">
        <f>IF(G252=0,"-",J231/I252)</f>
        <v>3.9435348249412225</v>
      </c>
      <c r="K252" s="58" t="str">
        <f t="shared" si="3"/>
        <v>≥</v>
      </c>
      <c r="L252" s="69">
        <f>IF(G252=0,"-",+L230)</f>
        <v>1.85</v>
      </c>
      <c r="M252" s="69" t="str">
        <f t="shared" si="4"/>
        <v>OK</v>
      </c>
      <c r="Q252" s="4"/>
    </row>
    <row r="253" spans="6:17" ht="12.75" hidden="1">
      <c r="F253" s="37"/>
      <c r="G253" s="41"/>
      <c r="H253" s="25"/>
      <c r="I253" s="25"/>
      <c r="J253" s="25"/>
      <c r="K253" s="25"/>
      <c r="L253" s="52" t="s">
        <v>204</v>
      </c>
      <c r="Q253" s="4"/>
    </row>
    <row r="254" spans="6:17" ht="12.75">
      <c r="F254" s="37"/>
      <c r="G254" s="41"/>
      <c r="H254" s="25"/>
      <c r="I254" s="25"/>
      <c r="J254" s="25"/>
      <c r="K254" s="25"/>
      <c r="L254" s="52"/>
      <c r="Q254" s="4"/>
    </row>
    <row r="255" spans="1:17" ht="12.75">
      <c r="A255" s="11">
        <v>7</v>
      </c>
      <c r="B255" s="11" t="s">
        <v>203</v>
      </c>
      <c r="F255" s="37"/>
      <c r="G255" s="41"/>
      <c r="H255" s="25"/>
      <c r="I255" s="25"/>
      <c r="J255" s="25"/>
      <c r="K255" s="25"/>
      <c r="L255" s="25"/>
      <c r="M255" s="39"/>
      <c r="Q255" s="4"/>
    </row>
    <row r="256" spans="6:17" ht="12.75">
      <c r="F256" s="37"/>
      <c r="G256" s="41"/>
      <c r="H256" s="25"/>
      <c r="I256" s="25"/>
      <c r="J256" s="25"/>
      <c r="K256" s="25"/>
      <c r="L256" s="25"/>
      <c r="M256" s="39"/>
      <c r="Q256" s="4"/>
    </row>
    <row r="257" spans="2:17" ht="12.75">
      <c r="B257" t="s">
        <v>156</v>
      </c>
      <c r="E257" s="9" t="s">
        <v>71</v>
      </c>
      <c r="F257" s="37" t="s">
        <v>13</v>
      </c>
      <c r="G257" s="4" t="s">
        <v>158</v>
      </c>
      <c r="H257" s="25"/>
      <c r="I257" s="4" t="s">
        <v>157</v>
      </c>
      <c r="J257" s="25"/>
      <c r="K257" s="25"/>
      <c r="L257" s="25"/>
      <c r="M257" s="39"/>
      <c r="Q257" s="4"/>
    </row>
    <row r="258" spans="2:17" ht="12.75">
      <c r="B258" t="s">
        <v>183</v>
      </c>
      <c r="F258" s="37"/>
      <c r="G258" s="41"/>
      <c r="H258" s="25"/>
      <c r="I258" s="25"/>
      <c r="J258" s="25"/>
      <c r="K258" s="25"/>
      <c r="L258" s="25"/>
      <c r="M258" s="39"/>
      <c r="Q258" s="4"/>
    </row>
    <row r="259" spans="2:17" ht="12.75">
      <c r="B259" t="s">
        <v>155</v>
      </c>
      <c r="F259" s="37" t="s">
        <v>13</v>
      </c>
      <c r="G259" s="58">
        <f>+H58*TAN(RADIANS(45-H50/2))</f>
        <v>15.289686259379836</v>
      </c>
      <c r="H259" s="25" t="s">
        <v>17</v>
      </c>
      <c r="I259" s="58">
        <f>+H58*TAN(RADIANS(H53))</f>
        <v>6</v>
      </c>
      <c r="J259" s="25"/>
      <c r="K259" s="25"/>
      <c r="L259" s="25"/>
      <c r="M259" s="39"/>
      <c r="Q259" s="4"/>
    </row>
    <row r="260" spans="5:17" ht="12.75">
      <c r="E260" s="9"/>
      <c r="F260" s="9"/>
      <c r="G260" s="9"/>
      <c r="H260" s="4"/>
      <c r="I260" s="9"/>
      <c r="J260" s="9"/>
      <c r="L260" s="25"/>
      <c r="M260" s="39"/>
      <c r="Q260" s="4"/>
    </row>
    <row r="261" spans="6:17" ht="12.75">
      <c r="F261" s="37" t="s">
        <v>13</v>
      </c>
      <c r="G261" s="58">
        <f>+G259-I259</f>
        <v>9.289686259379836</v>
      </c>
      <c r="H261" s="25"/>
      <c r="I261" s="25"/>
      <c r="J261" s="25"/>
      <c r="K261" s="25"/>
      <c r="L261" s="25"/>
      <c r="M261" s="39"/>
      <c r="Q261" s="4"/>
    </row>
    <row r="262" spans="6:17" ht="12.75">
      <c r="F262" s="37"/>
      <c r="G262" s="41"/>
      <c r="H262" s="25"/>
      <c r="I262" s="25"/>
      <c r="J262" s="25"/>
      <c r="K262" s="25"/>
      <c r="L262" s="25"/>
      <c r="M262" s="39"/>
      <c r="Q262" s="4"/>
    </row>
    <row r="263" spans="2:17" ht="12.75">
      <c r="B263" t="s">
        <v>72</v>
      </c>
      <c r="F263" s="37"/>
      <c r="G263" s="41"/>
      <c r="H263" s="25"/>
      <c r="I263" s="25"/>
      <c r="J263" s="25"/>
      <c r="K263" s="25"/>
      <c r="L263" s="25"/>
      <c r="M263" s="39"/>
      <c r="Q263" s="4"/>
    </row>
    <row r="264" spans="6:17" ht="12.75">
      <c r="F264" s="37"/>
      <c r="G264" s="41"/>
      <c r="H264" s="25"/>
      <c r="I264" s="25"/>
      <c r="J264" s="25"/>
      <c r="K264" s="25"/>
      <c r="L264" s="25"/>
      <c r="M264" s="39"/>
      <c r="Q264" s="4"/>
    </row>
    <row r="265" spans="2:17" ht="12.75">
      <c r="B265" t="s">
        <v>74</v>
      </c>
      <c r="E265" s="9" t="s">
        <v>96</v>
      </c>
      <c r="F265" s="9" t="s">
        <v>13</v>
      </c>
      <c r="G265" s="41" t="s">
        <v>159</v>
      </c>
      <c r="H265" s="25" t="s">
        <v>17</v>
      </c>
      <c r="I265" s="25" t="s">
        <v>182</v>
      </c>
      <c r="J265" s="25"/>
      <c r="K265" s="25"/>
      <c r="L265" s="25"/>
      <c r="M265" s="39"/>
      <c r="Q265" s="4"/>
    </row>
    <row r="266" spans="2:17" ht="12.75">
      <c r="B266" t="s">
        <v>75</v>
      </c>
      <c r="F266" s="37"/>
      <c r="G266" s="41"/>
      <c r="H266" s="25"/>
      <c r="I266" s="25"/>
      <c r="J266" s="25"/>
      <c r="K266" s="25"/>
      <c r="L266" s="25"/>
      <c r="M266" s="39"/>
      <c r="Q266" s="4"/>
    </row>
    <row r="267" spans="6:17" ht="12.75">
      <c r="F267" s="37" t="s">
        <v>13</v>
      </c>
      <c r="G267" s="58">
        <f>+H59-H60-G261</f>
        <v>5.710313740620164</v>
      </c>
      <c r="H267" s="25" t="s">
        <v>15</v>
      </c>
      <c r="I267" s="58">
        <f>+G261/H58</f>
        <v>0.3870702608074932</v>
      </c>
      <c r="J267" s="25" t="s">
        <v>50</v>
      </c>
      <c r="K267" s="25"/>
      <c r="L267" s="25"/>
      <c r="M267" s="39"/>
      <c r="Q267" s="4"/>
    </row>
    <row r="268" spans="6:17" ht="12.75">
      <c r="F268" s="37"/>
      <c r="G268" s="41"/>
      <c r="H268" s="25"/>
      <c r="I268" s="25"/>
      <c r="J268" s="25"/>
      <c r="K268" s="25"/>
      <c r="L268" s="25"/>
      <c r="M268" s="39"/>
      <c r="Q268" s="4"/>
    </row>
    <row r="269" spans="2:17" ht="12.75">
      <c r="B269" t="s">
        <v>160</v>
      </c>
      <c r="E269" t="s">
        <v>110</v>
      </c>
      <c r="F269" s="37" t="s">
        <v>13</v>
      </c>
      <c r="G269" s="41">
        <v>0.91</v>
      </c>
      <c r="H269" s="25"/>
      <c r="I269" s="25"/>
      <c r="J269" s="25"/>
      <c r="K269" s="25"/>
      <c r="L269" s="25"/>
      <c r="M269" s="39"/>
      <c r="Q269" s="4"/>
    </row>
    <row r="270" spans="2:17" ht="12.75">
      <c r="B270" t="s">
        <v>126</v>
      </c>
      <c r="F270" s="37"/>
      <c r="G270" s="41"/>
      <c r="H270" s="25"/>
      <c r="I270" s="25"/>
      <c r="J270" s="25"/>
      <c r="K270" s="25"/>
      <c r="L270" s="25"/>
      <c r="M270" s="39"/>
      <c r="Q270" s="4"/>
    </row>
    <row r="271" spans="6:17" ht="12.75">
      <c r="F271" s="37"/>
      <c r="G271" s="41"/>
      <c r="H271" s="25"/>
      <c r="I271" s="25"/>
      <c r="J271" s="25"/>
      <c r="K271" s="25"/>
      <c r="L271" s="25"/>
      <c r="M271" s="39"/>
      <c r="Q271" s="4"/>
    </row>
    <row r="272" spans="2:17" ht="12.75">
      <c r="B272" t="s">
        <v>164</v>
      </c>
      <c r="E272" t="s">
        <v>165</v>
      </c>
      <c r="F272" s="37" t="s">
        <v>13</v>
      </c>
      <c r="G272" s="88">
        <v>1.5</v>
      </c>
      <c r="H272" s="25"/>
      <c r="I272" s="25"/>
      <c r="J272" s="25"/>
      <c r="K272" s="25"/>
      <c r="L272" s="25"/>
      <c r="M272" s="39"/>
      <c r="Q272" s="4"/>
    </row>
    <row r="273" spans="6:17" ht="12.75">
      <c r="F273" s="37"/>
      <c r="G273" s="41"/>
      <c r="H273" s="25"/>
      <c r="I273" s="25"/>
      <c r="J273" s="25"/>
      <c r="K273" s="25"/>
      <c r="L273" s="25"/>
      <c r="M273" s="39"/>
      <c r="Q273" s="4"/>
    </row>
    <row r="274" spans="2:17" ht="12.75">
      <c r="B274" t="s">
        <v>52</v>
      </c>
      <c r="E274" t="s">
        <v>73</v>
      </c>
      <c r="F274" s="37" t="s">
        <v>13</v>
      </c>
      <c r="G274" s="42" t="s">
        <v>161</v>
      </c>
      <c r="H274" s="25" t="s">
        <v>13</v>
      </c>
      <c r="I274" s="42" t="s">
        <v>161</v>
      </c>
      <c r="J274" s="25"/>
      <c r="K274" s="25"/>
      <c r="L274" s="25"/>
      <c r="M274" s="39"/>
      <c r="Q274" s="4"/>
    </row>
    <row r="275" spans="2:17" ht="12.75">
      <c r="B275" t="s">
        <v>70</v>
      </c>
      <c r="F275" s="37"/>
      <c r="G275" s="41" t="s">
        <v>162</v>
      </c>
      <c r="H275" s="25"/>
      <c r="I275" s="41" t="s">
        <v>163</v>
      </c>
      <c r="J275" s="9"/>
      <c r="K275" s="9"/>
      <c r="L275" s="9"/>
      <c r="M275" s="9"/>
      <c r="Q275" s="4"/>
    </row>
    <row r="276" spans="6:17" ht="12.75">
      <c r="F276" s="37"/>
      <c r="G276" s="41"/>
      <c r="H276" s="25"/>
      <c r="I276" s="25"/>
      <c r="J276" s="25"/>
      <c r="K276" s="25"/>
      <c r="L276" s="25"/>
      <c r="M276" s="39"/>
      <c r="Q276" s="4"/>
    </row>
    <row r="277" spans="6:17" ht="12.75">
      <c r="F277" s="37" t="s">
        <v>13</v>
      </c>
      <c r="G277" s="42">
        <f>+G272</f>
        <v>1.5</v>
      </c>
      <c r="H277" s="26" t="s">
        <v>40</v>
      </c>
      <c r="I277" s="26"/>
      <c r="J277" s="26"/>
      <c r="K277" s="26"/>
      <c r="L277" s="25"/>
      <c r="M277" s="39"/>
      <c r="Q277" s="4"/>
    </row>
    <row r="278" spans="6:17" ht="12.75">
      <c r="F278" s="37"/>
      <c r="G278" s="67">
        <f>+G269*H56</f>
        <v>109.2</v>
      </c>
      <c r="H278" s="25" t="s">
        <v>50</v>
      </c>
      <c r="I278" s="25" t="s">
        <v>15</v>
      </c>
      <c r="J278" s="58">
        <f>+G269*H55</f>
        <v>227.5</v>
      </c>
      <c r="K278" s="25"/>
      <c r="L278" s="25"/>
      <c r="M278" s="39"/>
      <c r="Q278" s="4"/>
    </row>
    <row r="279" spans="6:17" ht="12.75">
      <c r="F279" s="37"/>
      <c r="G279" s="41"/>
      <c r="H279" s="25"/>
      <c r="I279" s="25"/>
      <c r="J279" s="25"/>
      <c r="K279" s="25"/>
      <c r="L279" s="25"/>
      <c r="M279" s="39"/>
      <c r="Q279" s="4"/>
    </row>
    <row r="280" spans="5:17" ht="12.75">
      <c r="E280" s="38" t="s">
        <v>79</v>
      </c>
      <c r="G280" s="38" t="s">
        <v>139</v>
      </c>
      <c r="H280" s="38"/>
      <c r="I280" s="38" t="s">
        <v>102</v>
      </c>
      <c r="J280" s="25"/>
      <c r="K280" s="38" t="s">
        <v>257</v>
      </c>
      <c r="L280" s="25"/>
      <c r="M280" s="39"/>
      <c r="Q280" s="4"/>
    </row>
    <row r="281" spans="5:17" ht="12.75">
      <c r="E281" s="16" t="s">
        <v>149</v>
      </c>
      <c r="F281" s="37"/>
      <c r="G281" s="38" t="s">
        <v>140</v>
      </c>
      <c r="H281" s="38" t="s">
        <v>68</v>
      </c>
      <c r="I281" s="11" t="s">
        <v>256</v>
      </c>
      <c r="J281" s="25"/>
      <c r="K281" s="38" t="s">
        <v>102</v>
      </c>
      <c r="L281" s="25"/>
      <c r="M281" s="39"/>
      <c r="Q281" s="4"/>
    </row>
    <row r="282" spans="6:17" ht="12.75">
      <c r="F282" s="37"/>
      <c r="G282" s="16" t="s">
        <v>50</v>
      </c>
      <c r="H282" s="16" t="s">
        <v>40</v>
      </c>
      <c r="I282" s="16" t="s">
        <v>153</v>
      </c>
      <c r="J282" s="16" t="s">
        <v>16</v>
      </c>
      <c r="K282" s="16" t="s">
        <v>154</v>
      </c>
      <c r="L282" s="16"/>
      <c r="M282" s="16" t="s">
        <v>136</v>
      </c>
      <c r="O282" s="24"/>
      <c r="Q282" s="4"/>
    </row>
    <row r="283" spans="6:17" ht="12.75">
      <c r="F283" s="37"/>
      <c r="G283" s="9" t="s">
        <v>23</v>
      </c>
      <c r="H283" s="9" t="s">
        <v>47</v>
      </c>
      <c r="I283" s="9" t="s">
        <v>23</v>
      </c>
      <c r="J283" s="9"/>
      <c r="K283" s="9" t="s">
        <v>23</v>
      </c>
      <c r="M283" s="9" t="s">
        <v>166</v>
      </c>
      <c r="Q283" s="4"/>
    </row>
    <row r="284" spans="6:17" ht="12.75">
      <c r="F284" s="37"/>
      <c r="G284" s="41"/>
      <c r="H284" s="25"/>
      <c r="I284" s="25"/>
      <c r="J284" s="25"/>
      <c r="K284" s="25"/>
      <c r="L284" s="25"/>
      <c r="M284" s="39"/>
      <c r="Q284" s="4"/>
    </row>
    <row r="285" spans="5:17" ht="12.75">
      <c r="E285" s="41">
        <v>10</v>
      </c>
      <c r="F285" s="37"/>
      <c r="G285" s="41">
        <f>+G234</f>
        <v>0</v>
      </c>
      <c r="H285" s="58" t="str">
        <f>+I234</f>
        <v>-</v>
      </c>
      <c r="I285" s="58" t="str">
        <f>IF(G285=0,"-",+G267+I267*G285)</f>
        <v>-</v>
      </c>
      <c r="J285" s="58" t="str">
        <f>IF(G285=0,"-",IF(I285&gt;K285,"&gt;","&lt;"))</f>
        <v>-</v>
      </c>
      <c r="K285" s="90" t="str">
        <f>IF(G285=0,"-",+G277*H285/(G278*G285+J278))</f>
        <v>-</v>
      </c>
      <c r="L285" s="58" t="str">
        <f aca="true" t="shared" si="5" ref="L285:L291">IF(G285=0,"-",IF(I285&gt;K285,"O.K","F"))</f>
        <v>-</v>
      </c>
      <c r="M285" s="69" t="str">
        <f>IF(G285=0,"-",+K285-I285)</f>
        <v>-</v>
      </c>
      <c r="Q285" s="4"/>
    </row>
    <row r="286" spans="5:17" ht="12.75">
      <c r="E286" s="41" t="s">
        <v>168</v>
      </c>
      <c r="F286" s="37"/>
      <c r="G286" s="41">
        <f>+G235</f>
        <v>0</v>
      </c>
      <c r="H286" s="58" t="str">
        <f>I235</f>
        <v>-</v>
      </c>
      <c r="I286" s="58" t="str">
        <f>IF(G286=0,"-",+G267+I267*G286)</f>
        <v>-</v>
      </c>
      <c r="J286" s="58" t="str">
        <f>IF(G286=0,"-",IF(I286&gt;K286,"&gt;","&lt;"))</f>
        <v>-</v>
      </c>
      <c r="K286" s="90" t="str">
        <f>IF(G286=0,"-",+G277*H286/(G278*G286+J278))</f>
        <v>-</v>
      </c>
      <c r="L286" s="58" t="str">
        <f t="shared" si="5"/>
        <v>-</v>
      </c>
      <c r="M286" s="69" t="str">
        <f>IF(G286=0,"-",+K286-I286)</f>
        <v>-</v>
      </c>
      <c r="Q286" s="4"/>
    </row>
    <row r="287" spans="5:17" ht="12.75">
      <c r="E287" s="41">
        <v>9</v>
      </c>
      <c r="F287" s="37"/>
      <c r="G287" s="41">
        <f>+G236</f>
        <v>0</v>
      </c>
      <c r="H287" s="58" t="str">
        <f aca="true" t="shared" si="6" ref="H287:H303">+I236</f>
        <v>-</v>
      </c>
      <c r="I287" s="58" t="str">
        <f>IF(G287=0,"-",+G267+I267*G287)</f>
        <v>-</v>
      </c>
      <c r="J287" s="58" t="str">
        <f aca="true" t="shared" si="7" ref="J287:J302">IF(G287=0,"-",IF(I287&gt;K287,"&gt;","&lt;"))</f>
        <v>-</v>
      </c>
      <c r="K287" s="90" t="str">
        <f>IF(G287=0,"-",+G277*H287/(G278*G287+J278))</f>
        <v>-</v>
      </c>
      <c r="L287" s="58" t="str">
        <f t="shared" si="5"/>
        <v>-</v>
      </c>
      <c r="M287" s="69" t="str">
        <f aca="true" t="shared" si="8" ref="M287:M303">IF(G287=0,"-",+K287-I287)</f>
        <v>-</v>
      </c>
      <c r="Q287" s="4"/>
    </row>
    <row r="288" spans="5:17" ht="12.75">
      <c r="E288" s="41" t="s">
        <v>167</v>
      </c>
      <c r="F288" s="37"/>
      <c r="G288" s="41">
        <f>+G237</f>
        <v>0</v>
      </c>
      <c r="H288" s="58" t="str">
        <f t="shared" si="6"/>
        <v>-</v>
      </c>
      <c r="I288" s="58" t="str">
        <f>IF(G288=0,"-",+G267+I267*G288)</f>
        <v>-</v>
      </c>
      <c r="J288" s="58" t="str">
        <f t="shared" si="7"/>
        <v>-</v>
      </c>
      <c r="K288" s="90" t="str">
        <f>IF(G288=0,"-",+G277*H288/(G278*G288+J278))</f>
        <v>-</v>
      </c>
      <c r="L288" s="58" t="str">
        <f t="shared" si="5"/>
        <v>-</v>
      </c>
      <c r="M288" s="69" t="str">
        <f>IF(G288=0,"-",+K288-I288)</f>
        <v>-</v>
      </c>
      <c r="Q288" s="4"/>
    </row>
    <row r="289" spans="5:17" ht="12.75">
      <c r="E289" s="41">
        <v>8</v>
      </c>
      <c r="F289" s="37"/>
      <c r="G289" s="41">
        <f aca="true" t="shared" si="9" ref="G289:G302">+G238</f>
        <v>3</v>
      </c>
      <c r="H289" s="58">
        <f t="shared" si="6"/>
        <v>859.9022104869036</v>
      </c>
      <c r="I289" s="58">
        <f>IF(G289=0,"-",+G267+I267*G289)</f>
        <v>6.871524523042643</v>
      </c>
      <c r="J289" s="58" t="str">
        <f t="shared" si="7"/>
        <v>&gt;</v>
      </c>
      <c r="K289" s="90">
        <f>IF(G289=0,"-",+G277*H289/(G278*G289+J278))</f>
        <v>2.323641354225104</v>
      </c>
      <c r="L289" s="58" t="str">
        <f t="shared" si="5"/>
        <v>O.K</v>
      </c>
      <c r="M289" s="69">
        <f t="shared" si="8"/>
        <v>-4.547883168817538</v>
      </c>
      <c r="Q289" s="4"/>
    </row>
    <row r="290" spans="5:17" ht="12.75">
      <c r="E290" s="41" t="s">
        <v>152</v>
      </c>
      <c r="F290" s="37"/>
      <c r="G290" s="41">
        <f t="shared" si="9"/>
        <v>0</v>
      </c>
      <c r="H290" s="58" t="str">
        <f t="shared" si="6"/>
        <v>-</v>
      </c>
      <c r="I290" s="58" t="str">
        <f>IF(G290=0,"-",+G267+I267*G290)</f>
        <v>-</v>
      </c>
      <c r="J290" s="58" t="str">
        <f t="shared" si="7"/>
        <v>-</v>
      </c>
      <c r="K290" s="90" t="str">
        <f>IF(G290=0,"-",+G277*H290/(G278*G290+J278))</f>
        <v>-</v>
      </c>
      <c r="L290" s="58" t="str">
        <f t="shared" si="5"/>
        <v>-</v>
      </c>
      <c r="M290" s="69" t="str">
        <f t="shared" si="8"/>
        <v>-</v>
      </c>
      <c r="Q290" s="4"/>
    </row>
    <row r="291" spans="5:17" ht="12.75">
      <c r="E291" s="41">
        <v>7</v>
      </c>
      <c r="F291" s="37"/>
      <c r="G291" s="41">
        <f t="shared" si="9"/>
        <v>6</v>
      </c>
      <c r="H291" s="58">
        <f t="shared" si="6"/>
        <v>911.5903214997776</v>
      </c>
      <c r="I291" s="58">
        <f>IF(G291=0,"-",+G267+I267*G291)</f>
        <v>8.032735305465122</v>
      </c>
      <c r="J291" s="58" t="str">
        <f t="shared" si="7"/>
        <v>&gt;</v>
      </c>
      <c r="K291" s="90">
        <f>IF(G291=0,"-",+G277*H291/(G278*G291+J278))</f>
        <v>1.5490942361500695</v>
      </c>
      <c r="L291" s="58" t="str">
        <f t="shared" si="5"/>
        <v>O.K</v>
      </c>
      <c r="M291" s="69">
        <f t="shared" si="8"/>
        <v>-6.483641069315053</v>
      </c>
      <c r="Q291" s="4"/>
    </row>
    <row r="292" spans="5:17" ht="12.75">
      <c r="E292" s="41" t="s">
        <v>151</v>
      </c>
      <c r="F292" s="37"/>
      <c r="G292" s="41">
        <f t="shared" si="9"/>
        <v>0</v>
      </c>
      <c r="H292" s="58" t="str">
        <f t="shared" si="6"/>
        <v>-</v>
      </c>
      <c r="I292" s="58" t="str">
        <f>IF(G292=0,"-",+G267+I267*G292)</f>
        <v>-</v>
      </c>
      <c r="J292" s="58" t="str">
        <f t="shared" si="7"/>
        <v>-</v>
      </c>
      <c r="K292" s="90" t="str">
        <f>IF(G292=0,"-",+G277*H292/(G278*G292+J278))</f>
        <v>-</v>
      </c>
      <c r="L292" s="58" t="str">
        <f>IF(G292=0,"-",IF(I293&gt;K292,"O.K","F"))</f>
        <v>-</v>
      </c>
      <c r="M292" s="69" t="str">
        <f t="shared" si="8"/>
        <v>-</v>
      </c>
      <c r="Q292" s="4"/>
    </row>
    <row r="293" spans="5:17" ht="12.75">
      <c r="E293" s="41">
        <v>6</v>
      </c>
      <c r="F293" s="37"/>
      <c r="G293" s="41">
        <f t="shared" si="9"/>
        <v>9</v>
      </c>
      <c r="H293" s="58">
        <f t="shared" si="6"/>
        <v>1249.9125026749527</v>
      </c>
      <c r="I293" s="58">
        <f>IF(G293=0,"-",+G267+I267*G293)</f>
        <v>9.193946087887603</v>
      </c>
      <c r="J293" s="58" t="str">
        <f t="shared" si="7"/>
        <v>&gt;</v>
      </c>
      <c r="K293" s="90">
        <f>IF(G293=0,"-",+G277*H293/(G278*G293+J278))</f>
        <v>1.5490942361500695</v>
      </c>
      <c r="L293" s="58" t="str">
        <f aca="true" t="shared" si="10" ref="L293:L303">IF(G293=0,"-",IF(I293&gt;K293,"O.K","F"))</f>
        <v>O.K</v>
      </c>
      <c r="M293" s="69">
        <f t="shared" si="8"/>
        <v>-7.644851851737534</v>
      </c>
      <c r="Q293" s="4"/>
    </row>
    <row r="294" spans="5:17" ht="12.75">
      <c r="E294" s="41" t="s">
        <v>150</v>
      </c>
      <c r="F294" s="37"/>
      <c r="G294" s="41">
        <f t="shared" si="9"/>
        <v>0</v>
      </c>
      <c r="H294" s="58" t="str">
        <f t="shared" si="6"/>
        <v>-</v>
      </c>
      <c r="I294" s="58" t="str">
        <f>IF(G294=0,"-",+G267+I267*G294)</f>
        <v>-</v>
      </c>
      <c r="J294" s="58" t="str">
        <f t="shared" si="7"/>
        <v>-</v>
      </c>
      <c r="K294" s="90" t="str">
        <f>IF(G294=0,"-",+G277*H294/(G278*G294+J278))</f>
        <v>-</v>
      </c>
      <c r="L294" s="58" t="str">
        <f t="shared" si="10"/>
        <v>-</v>
      </c>
      <c r="M294" s="69" t="str">
        <f t="shared" si="8"/>
        <v>-</v>
      </c>
      <c r="Q294" s="4"/>
    </row>
    <row r="295" spans="5:17" ht="12.75">
      <c r="E295" s="41">
        <v>5</v>
      </c>
      <c r="F295" s="37"/>
      <c r="G295" s="41">
        <f t="shared" si="9"/>
        <v>12</v>
      </c>
      <c r="H295" s="58">
        <f t="shared" si="6"/>
        <v>1191.176012887596</v>
      </c>
      <c r="I295" s="58">
        <f>IF(G295=0,"-",+G267+I267*G295)</f>
        <v>10.355156870310083</v>
      </c>
      <c r="J295" s="58" t="str">
        <f t="shared" si="7"/>
        <v>&gt;</v>
      </c>
      <c r="K295" s="90">
        <f>IF(G295=0,"-",+G277*H295/(G278*G295+J278))</f>
        <v>1.161820677112552</v>
      </c>
      <c r="L295" s="58" t="str">
        <f t="shared" si="10"/>
        <v>O.K</v>
      </c>
      <c r="M295" s="69">
        <f t="shared" si="8"/>
        <v>-9.193336193197531</v>
      </c>
      <c r="Q295" s="4"/>
    </row>
    <row r="296" spans="5:17" ht="12.75">
      <c r="E296" s="41" t="s">
        <v>108</v>
      </c>
      <c r="F296" s="37"/>
      <c r="G296" s="41">
        <f t="shared" si="9"/>
        <v>13.5</v>
      </c>
      <c r="H296" s="58">
        <f t="shared" si="6"/>
        <v>878.6978872188578</v>
      </c>
      <c r="I296" s="58">
        <f>IF(G296=0,"-",+G267+I267*G296)</f>
        <v>10.935762261521322</v>
      </c>
      <c r="J296" s="58" t="str">
        <f t="shared" si="7"/>
        <v>&gt;</v>
      </c>
      <c r="K296" s="90">
        <f>IF(G296=0,"-",+G277*H296/(G278*G296+J278))</f>
        <v>0.7745471180750347</v>
      </c>
      <c r="L296" s="58" t="str">
        <f t="shared" si="10"/>
        <v>O.K</v>
      </c>
      <c r="M296" s="69">
        <f t="shared" si="8"/>
        <v>-10.161215143446288</v>
      </c>
      <c r="Q296" s="4"/>
    </row>
    <row r="297" spans="5:17" ht="12.75">
      <c r="E297" s="41">
        <v>4</v>
      </c>
      <c r="F297" s="37"/>
      <c r="G297" s="41">
        <f t="shared" si="9"/>
        <v>15</v>
      </c>
      <c r="H297" s="58">
        <f t="shared" si="6"/>
        <v>963.2784325126515</v>
      </c>
      <c r="I297" s="58">
        <f>IF(G297=0,"-",+G267+I267*G297)</f>
        <v>11.516367652732562</v>
      </c>
      <c r="J297" s="58" t="str">
        <f t="shared" si="7"/>
        <v>&gt;</v>
      </c>
      <c r="K297" s="90">
        <f>IF(G297=0,"-",+G277*H297/(G278*G297+J278))</f>
        <v>0.7745471180750348</v>
      </c>
      <c r="L297" s="58" t="str">
        <f t="shared" si="10"/>
        <v>O.K</v>
      </c>
      <c r="M297" s="69">
        <f t="shared" si="8"/>
        <v>-10.741820534657528</v>
      </c>
      <c r="Q297" s="4"/>
    </row>
    <row r="298" spans="5:17" ht="12.75">
      <c r="E298" s="41" t="s">
        <v>101</v>
      </c>
      <c r="F298" s="37"/>
      <c r="G298" s="41">
        <f t="shared" si="9"/>
        <v>16.5</v>
      </c>
      <c r="H298" s="58">
        <f t="shared" si="6"/>
        <v>1047.8589778064454</v>
      </c>
      <c r="I298" s="58">
        <f>IF(G298=0,"-",+G267+I267*G298)</f>
        <v>12.096973043943802</v>
      </c>
      <c r="J298" s="58" t="str">
        <f t="shared" si="7"/>
        <v>&gt;</v>
      </c>
      <c r="K298" s="90">
        <f>IF(G298=0,"-",+G277*H298/(G278*G298+J278))</f>
        <v>0.7745471180750348</v>
      </c>
      <c r="L298" s="58" t="str">
        <f t="shared" si="10"/>
        <v>O.K</v>
      </c>
      <c r="M298" s="69">
        <f t="shared" si="8"/>
        <v>-11.322425925868767</v>
      </c>
      <c r="Q298" s="4"/>
    </row>
    <row r="299" spans="5:17" ht="12.75">
      <c r="E299" s="41">
        <v>3</v>
      </c>
      <c r="F299" s="37"/>
      <c r="G299" s="41">
        <f t="shared" si="9"/>
        <v>18</v>
      </c>
      <c r="H299" s="58">
        <f t="shared" si="6"/>
        <v>1132.439523100239</v>
      </c>
      <c r="I299" s="58">
        <f>IF(G299=0,"-",+G267+I267*G299)</f>
        <v>12.677578435155041</v>
      </c>
      <c r="J299" s="58" t="str">
        <f t="shared" si="7"/>
        <v>&gt;</v>
      </c>
      <c r="K299" s="90">
        <f>IF(G299=0,"-",+G277*H299/(G278*G299+J278))</f>
        <v>0.7745471180750345</v>
      </c>
      <c r="L299" s="58" t="str">
        <f t="shared" si="10"/>
        <v>O.K</v>
      </c>
      <c r="M299" s="69">
        <f t="shared" si="8"/>
        <v>-11.903031317080007</v>
      </c>
      <c r="Q299" s="4"/>
    </row>
    <row r="300" spans="5:17" ht="12.75">
      <c r="E300" s="41" t="s">
        <v>100</v>
      </c>
      <c r="F300" s="37"/>
      <c r="G300" s="9">
        <f t="shared" si="9"/>
        <v>19.5</v>
      </c>
      <c r="H300" s="58">
        <f t="shared" si="6"/>
        <v>1217.020068394033</v>
      </c>
      <c r="I300" s="58">
        <f>IF(G300=0,"-",+G267+I267*G300)</f>
        <v>13.258183826366281</v>
      </c>
      <c r="J300" s="58" t="str">
        <f t="shared" si="7"/>
        <v>&gt;</v>
      </c>
      <c r="K300" s="90">
        <f>IF(G300=0,"-",+G277*H300/(G278*G300+J278))</f>
        <v>0.7745471180750347</v>
      </c>
      <c r="L300" s="68" t="str">
        <f t="shared" si="10"/>
        <v>O.K</v>
      </c>
      <c r="M300" s="69">
        <f t="shared" si="8"/>
        <v>-12.483636708291247</v>
      </c>
      <c r="N300" s="9"/>
      <c r="Q300" s="4"/>
    </row>
    <row r="301" spans="5:17" ht="12.75">
      <c r="E301" s="41">
        <v>2</v>
      </c>
      <c r="F301" s="37"/>
      <c r="G301" s="9">
        <f t="shared" si="9"/>
        <v>21</v>
      </c>
      <c r="H301" s="58">
        <f t="shared" si="6"/>
        <v>1301.6006136878268</v>
      </c>
      <c r="I301" s="58">
        <f>IF(G301=0,"-",+G267+I267*G301)</f>
        <v>13.83878921757752</v>
      </c>
      <c r="J301" s="58" t="str">
        <f t="shared" si="7"/>
        <v>&gt;</v>
      </c>
      <c r="K301" s="90">
        <f>IF(G301=0,"-",+G277*H301/(G278*G301+J278))</f>
        <v>0.7745471180750347</v>
      </c>
      <c r="L301" s="68" t="str">
        <f t="shared" si="10"/>
        <v>O.K</v>
      </c>
      <c r="M301" s="69">
        <f t="shared" si="8"/>
        <v>-13.064242099502486</v>
      </c>
      <c r="N301" s="9"/>
      <c r="Q301" s="4"/>
    </row>
    <row r="302" spans="5:17" ht="12.75">
      <c r="E302" s="41" t="s">
        <v>99</v>
      </c>
      <c r="F302" s="37"/>
      <c r="G302" s="41">
        <f t="shared" si="9"/>
        <v>22.5</v>
      </c>
      <c r="H302" s="58">
        <f t="shared" si="6"/>
        <v>1386.1811589816205</v>
      </c>
      <c r="I302" s="58">
        <f>IF(G302=0,"-",+G267+I267*G302)</f>
        <v>14.41939460878876</v>
      </c>
      <c r="J302" s="58" t="str">
        <f t="shared" si="7"/>
        <v>&gt;</v>
      </c>
      <c r="K302" s="90">
        <f>IF(G302=0,"-",+G277*H302/(G278*G302+J278))</f>
        <v>0.7745471180750346</v>
      </c>
      <c r="L302" s="58" t="str">
        <f t="shared" si="10"/>
        <v>O.K</v>
      </c>
      <c r="M302" s="69">
        <f t="shared" si="8"/>
        <v>-13.644847490713726</v>
      </c>
      <c r="Q302" s="4"/>
    </row>
    <row r="303" spans="5:17" ht="12.75">
      <c r="E303" s="41">
        <v>1</v>
      </c>
      <c r="F303" s="37"/>
      <c r="G303" s="41">
        <f>+G252</f>
        <v>24</v>
      </c>
      <c r="H303" s="58">
        <f t="shared" si="6"/>
        <v>735.3808521377072</v>
      </c>
      <c r="I303" s="58">
        <f>IF(G303=0,"-",+G267+I267*G303)</f>
        <v>15</v>
      </c>
      <c r="J303" s="58" t="str">
        <f>IF(I303&gt;K303,"&gt;","&lt;")</f>
        <v>&gt;</v>
      </c>
      <c r="K303" s="90">
        <f>IF(G303=0,"-",+G277*H303/(G278*G303+J278))</f>
        <v>0.3872735590375173</v>
      </c>
      <c r="L303" s="58" t="str">
        <f t="shared" si="10"/>
        <v>O.K</v>
      </c>
      <c r="M303" s="69">
        <f t="shared" si="8"/>
        <v>-14.612726440962483</v>
      </c>
      <c r="Q303" s="4"/>
    </row>
    <row r="305" ht="12.75">
      <c r="F305" t="s">
        <v>251</v>
      </c>
    </row>
    <row r="306" ht="12.75">
      <c r="B306" s="11" t="s">
        <v>243</v>
      </c>
    </row>
    <row r="307" ht="12.75">
      <c r="B307" s="11" t="s">
        <v>244</v>
      </c>
    </row>
    <row r="308" ht="12.75">
      <c r="B308" s="76" t="s">
        <v>245</v>
      </c>
    </row>
    <row r="309" ht="12.75">
      <c r="B309" s="76" t="s">
        <v>246</v>
      </c>
    </row>
    <row r="310" ht="12.75">
      <c r="B310" s="76" t="s">
        <v>247</v>
      </c>
    </row>
    <row r="311" ht="12.75">
      <c r="B311" s="76" t="s">
        <v>249</v>
      </c>
    </row>
    <row r="312" ht="12.75">
      <c r="B312" s="76" t="s">
        <v>248</v>
      </c>
    </row>
  </sheetData>
  <sheetProtection password="9531" sheet="1" objects="1" scenarios="1"/>
  <protectedRanges>
    <protectedRange sqref="J213" name="Range15"/>
    <protectedRange sqref="I174" name="Range13"/>
    <protectedRange sqref="H55:H63" name="Range11"/>
    <protectedRange sqref="H46:H47" name="Range9"/>
    <protectedRange sqref="L39:M39" name="Range7"/>
    <protectedRange sqref="L35:M35" name="Range5"/>
    <protectedRange sqref="C39:I41" name="Range3"/>
    <protectedRange sqref="F33:I35" name="Range1"/>
    <protectedRange sqref="F37:I37" name="Range2"/>
    <protectedRange sqref="L33:M33" name="Range4"/>
    <protectedRange sqref="L37:M37" name="Range6"/>
    <protectedRange sqref="L41:M41" name="Range8"/>
    <protectedRange sqref="H50:H52" name="Range10"/>
    <protectedRange sqref="I157" name="Range12"/>
    <protectedRange sqref="L212" name="Range14"/>
    <protectedRange sqref="G272" name="Range16"/>
  </protectedRanges>
  <mergeCells count="1">
    <mergeCell ref="H208:I208"/>
  </mergeCells>
  <conditionalFormatting sqref="I199">
    <cfRule type="cellIs" priority="1" dxfId="6" operator="equal" stopIfTrue="1">
      <formula>"F"</formula>
    </cfRule>
  </conditionalFormatting>
  <conditionalFormatting sqref="H188 J188 M216:M226 M234:M252 L285:L303 J157 J174">
    <cfRule type="cellIs" priority="2" dxfId="1" operator="equal" stopIfTrue="1">
      <formula>"F"</formula>
    </cfRule>
  </conditionalFormatting>
  <conditionalFormatting sqref="G198">
    <cfRule type="cellIs" priority="3" dxfId="0" operator="greaterThan" stopIfTrue="1">
      <formula>$J$198</formula>
    </cfRule>
  </conditionalFormatting>
  <conditionalFormatting sqref="I198">
    <cfRule type="cellIs" priority="4" dxfId="3" operator="equal" stopIfTrue="1">
      <formula>"&gt;"</formula>
    </cfRule>
  </conditionalFormatting>
  <conditionalFormatting sqref="G157">
    <cfRule type="cellIs" priority="5" dxfId="0" operator="lessThan" stopIfTrue="1">
      <formula>$I$157</formula>
    </cfRule>
  </conditionalFormatting>
  <conditionalFormatting sqref="H157 H174">
    <cfRule type="cellIs" priority="6" dxfId="1" operator="equal" stopIfTrue="1">
      <formula>"&lt;"</formula>
    </cfRule>
  </conditionalFormatting>
  <conditionalFormatting sqref="G174">
    <cfRule type="cellIs" priority="7" dxfId="0" operator="lessThan" stopIfTrue="1">
      <formula>$I$174</formula>
    </cfRule>
  </conditionalFormatting>
  <printOptions/>
  <pageMargins left="0.25" right="0.25" top="0.25" bottom="0.25" header="0" footer="0"/>
  <pageSetup fitToHeight="4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Clip</dc:creator>
  <cp:keywords/>
  <dc:description/>
  <cp:lastModifiedBy>user</cp:lastModifiedBy>
  <cp:lastPrinted>2007-06-15T00:29:35Z</cp:lastPrinted>
  <dcterms:created xsi:type="dcterms:W3CDTF">2006-10-23T22:02:21Z</dcterms:created>
  <dcterms:modified xsi:type="dcterms:W3CDTF">2019-10-17T13:30:13Z</dcterms:modified>
  <cp:category/>
  <cp:version/>
  <cp:contentType/>
  <cp:contentStatus/>
</cp:coreProperties>
</file>