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08" yWindow="120" windowWidth="11340" windowHeight="7524" tabRatio="705" activeTab="0"/>
  </bookViews>
  <sheets>
    <sheet name="Notes" sheetId="1" r:id="rId1"/>
    <sheet name="Gravity Wall Calculator" sheetId="2" r:id="rId2"/>
  </sheets>
  <definedNames>
    <definedName name="OLE_LINK1" localSheetId="0">'Notes'!#REF!</definedName>
  </definedNames>
  <calcPr fullCalcOnLoad="1"/>
</workbook>
</file>

<file path=xl/sharedStrings.xml><?xml version="1.0" encoding="utf-8"?>
<sst xmlns="http://schemas.openxmlformats.org/spreadsheetml/2006/main" count="272" uniqueCount="180">
  <si>
    <t>β</t>
  </si>
  <si>
    <t>Height of wall</t>
  </si>
  <si>
    <t>H</t>
  </si>
  <si>
    <t>Angle of internal friction</t>
  </si>
  <si>
    <t>Φ</t>
  </si>
  <si>
    <t>Angle of wall friction</t>
  </si>
  <si>
    <t>δ</t>
  </si>
  <si>
    <t>Descriptions</t>
  </si>
  <si>
    <t>symbols</t>
  </si>
  <si>
    <t>Units</t>
  </si>
  <si>
    <t>γ</t>
  </si>
  <si>
    <t>Notes</t>
  </si>
  <si>
    <t>pcf</t>
  </si>
  <si>
    <t>=</t>
  </si>
  <si>
    <t>º</t>
  </si>
  <si>
    <t>+</t>
  </si>
  <si>
    <t>-</t>
  </si>
  <si>
    <t>Surcharge</t>
  </si>
  <si>
    <t>q</t>
  </si>
  <si>
    <t>Soil density</t>
  </si>
  <si>
    <r>
      <t>K</t>
    </r>
    <r>
      <rPr>
        <sz val="8"/>
        <rFont val="Arial"/>
        <family val="2"/>
      </rPr>
      <t>a</t>
    </r>
  </si>
  <si>
    <t>B</t>
  </si>
  <si>
    <t>ft</t>
  </si>
  <si>
    <r>
      <t>M</t>
    </r>
    <r>
      <rPr>
        <sz val="8"/>
        <rFont val="Arial"/>
        <family val="2"/>
      </rPr>
      <t>o</t>
    </r>
  </si>
  <si>
    <t>ft-lb / ft</t>
  </si>
  <si>
    <t>Weight of Gabion</t>
  </si>
  <si>
    <r>
      <t>W</t>
    </r>
    <r>
      <rPr>
        <sz val="8"/>
        <rFont val="Arial"/>
        <family val="2"/>
      </rPr>
      <t>g</t>
    </r>
  </si>
  <si>
    <t>Gabion density</t>
  </si>
  <si>
    <t>lb / ft</t>
  </si>
  <si>
    <r>
      <t>Horizontal distance to W</t>
    </r>
    <r>
      <rPr>
        <sz val="8"/>
        <rFont val="Arial"/>
        <family val="2"/>
      </rPr>
      <t>g</t>
    </r>
  </si>
  <si>
    <t>d</t>
  </si>
  <si>
    <t>SFo</t>
  </si>
  <si>
    <r>
      <t>SF</t>
    </r>
    <r>
      <rPr>
        <sz val="8"/>
        <rFont val="Arial"/>
        <family val="2"/>
      </rPr>
      <t>s</t>
    </r>
  </si>
  <si>
    <t>Tan Φ</t>
  </si>
  <si>
    <t>e</t>
  </si>
  <si>
    <t>Width of base</t>
  </si>
  <si>
    <t>P</t>
  </si>
  <si>
    <t>psf</t>
  </si>
  <si>
    <t>Overturning factor of safety</t>
  </si>
  <si>
    <t>Total vertical weight</t>
  </si>
  <si>
    <t>lb/ft</t>
  </si>
  <si>
    <t>Siding factor of safety</t>
  </si>
  <si>
    <t>≤</t>
  </si>
  <si>
    <t>F</t>
  </si>
  <si>
    <t>ω</t>
  </si>
  <si>
    <r>
      <t>γ</t>
    </r>
    <r>
      <rPr>
        <sz val="8"/>
        <rFont val="Arial"/>
        <family val="2"/>
      </rPr>
      <t>g</t>
    </r>
  </si>
  <si>
    <t>Sin(δ+Φ)</t>
  </si>
  <si>
    <t>Sin(Φ-β)</t>
  </si>
  <si>
    <t>Cos² ω</t>
  </si>
  <si>
    <t>COULOMB'S THEORY</t>
  </si>
  <si>
    <r>
      <t>X</t>
    </r>
    <r>
      <rPr>
        <sz val="8"/>
        <rFont val="Arial"/>
        <family val="2"/>
      </rPr>
      <t>g</t>
    </r>
  </si>
  <si>
    <t>Check Sliding</t>
  </si>
  <si>
    <t>Frictional force</t>
  </si>
  <si>
    <t>Eccentricity</t>
  </si>
  <si>
    <t>+B/6</t>
  </si>
  <si>
    <t>-B/6</t>
  </si>
  <si>
    <t>Check Bearing</t>
  </si>
  <si>
    <t>Applied bearing pressure</t>
  </si>
  <si>
    <t>Input</t>
  </si>
  <si>
    <t>Values</t>
  </si>
  <si>
    <t>cos(ω-δ)</t>
  </si>
  <si>
    <t>cos(ω+β)</t>
  </si>
  <si>
    <t>Cos²(Φ+ω)</t>
  </si>
  <si>
    <t>∑W</t>
  </si>
  <si>
    <t>Meyerhof</t>
  </si>
  <si>
    <t>(Resultant is in middle one third)</t>
  </si>
  <si>
    <t>Inclination angle to vertical plane</t>
  </si>
  <si>
    <t>Backfill slope angle above wall</t>
  </si>
  <si>
    <t>Embedment</t>
  </si>
  <si>
    <t>2e</t>
  </si>
  <si>
    <t>Cohesion</t>
  </si>
  <si>
    <t>C</t>
  </si>
  <si>
    <t>1+</t>
  </si>
  <si>
    <t>²</t>
  </si>
  <si>
    <r>
      <t>K</t>
    </r>
    <r>
      <rPr>
        <sz val="8"/>
        <rFont val="Arial"/>
        <family val="2"/>
      </rPr>
      <t xml:space="preserve">a </t>
    </r>
    <r>
      <rPr>
        <sz val="10"/>
        <rFont val="Arial"/>
        <family val="2"/>
      </rPr>
      <t>q</t>
    </r>
  </si>
  <si>
    <r>
      <t>0.5K</t>
    </r>
    <r>
      <rPr>
        <sz val="8"/>
        <rFont val="Arial"/>
        <family val="2"/>
      </rPr>
      <t>a</t>
    </r>
    <r>
      <rPr>
        <sz val="10"/>
        <rFont val="Arial"/>
        <family val="2"/>
      </rPr>
      <t>γ</t>
    </r>
  </si>
  <si>
    <t>Overturning moment</t>
  </si>
  <si>
    <t>coefficient</t>
  </si>
  <si>
    <t>Active earth pressure</t>
  </si>
  <si>
    <r>
      <t>W</t>
    </r>
    <r>
      <rPr>
        <sz val="8"/>
        <rFont val="Arial"/>
        <family val="2"/>
      </rPr>
      <t xml:space="preserve">g  </t>
    </r>
    <r>
      <rPr>
        <sz val="10"/>
        <rFont val="Arial"/>
        <family val="2"/>
      </rPr>
      <t>X</t>
    </r>
    <r>
      <rPr>
        <sz val="8"/>
        <rFont val="Arial"/>
        <family val="2"/>
      </rPr>
      <t>g</t>
    </r>
  </si>
  <si>
    <t>0.5 B</t>
  </si>
  <si>
    <r>
      <t>( ∑M</t>
    </r>
    <r>
      <rPr>
        <sz val="8"/>
        <rFont val="Arial"/>
        <family val="2"/>
      </rPr>
      <t>r</t>
    </r>
  </si>
  <si>
    <r>
      <t>M</t>
    </r>
    <r>
      <rPr>
        <sz val="8"/>
        <rFont val="Arial"/>
        <family val="2"/>
      </rPr>
      <t>o)</t>
    </r>
  </si>
  <si>
    <t>Ignore vertical components</t>
  </si>
  <si>
    <t>Horizontal active soil thrust</t>
  </si>
  <si>
    <t>Horizontal active surcharge</t>
  </si>
  <si>
    <t>thrust</t>
  </si>
  <si>
    <r>
      <t>P</t>
    </r>
    <r>
      <rPr>
        <sz val="8"/>
        <rFont val="Arial"/>
        <family val="2"/>
      </rPr>
      <t>hs</t>
    </r>
  </si>
  <si>
    <r>
      <t>P</t>
    </r>
    <r>
      <rPr>
        <sz val="8"/>
        <rFont val="Arial"/>
        <family val="2"/>
      </rPr>
      <t>hq</t>
    </r>
  </si>
  <si>
    <t>Cos(δ- ω)</t>
  </si>
  <si>
    <t>Total horizontal thrust</t>
  </si>
  <si>
    <r>
      <t>P</t>
    </r>
    <r>
      <rPr>
        <sz val="8"/>
        <rFont val="Arial"/>
        <family val="2"/>
      </rPr>
      <t>ha</t>
    </r>
  </si>
  <si>
    <r>
      <t>P</t>
    </r>
    <r>
      <rPr>
        <sz val="8"/>
        <rFont val="Arial"/>
        <family val="2"/>
      </rPr>
      <t xml:space="preserve">hs + </t>
    </r>
    <r>
      <rPr>
        <sz val="10"/>
        <rFont val="Arial"/>
        <family val="2"/>
      </rPr>
      <t>P</t>
    </r>
    <r>
      <rPr>
        <sz val="8"/>
        <rFont val="Arial"/>
        <family val="2"/>
      </rPr>
      <t>hq</t>
    </r>
  </si>
  <si>
    <t>&amp; cohesion</t>
  </si>
  <si>
    <t>Width</t>
  </si>
  <si>
    <t>Height</t>
  </si>
  <si>
    <t>offset</t>
  </si>
  <si>
    <t>Area</t>
  </si>
  <si>
    <t>X</t>
  </si>
  <si>
    <t>Moment</t>
  </si>
  <si>
    <t>Y</t>
  </si>
  <si>
    <r>
      <t>H</t>
    </r>
    <r>
      <rPr>
        <sz val="10"/>
        <rFont val="Arial"/>
        <family val="2"/>
      </rPr>
      <t>²</t>
    </r>
  </si>
  <si>
    <t>H/3-BSinω</t>
  </si>
  <si>
    <t>H/2-BSinω</t>
  </si>
  <si>
    <r>
      <t>∑A γ</t>
    </r>
    <r>
      <rPr>
        <sz val="8"/>
        <rFont val="Arial"/>
        <family val="2"/>
      </rPr>
      <t>g</t>
    </r>
  </si>
  <si>
    <t>X Cos ω</t>
  </si>
  <si>
    <t xml:space="preserve">Resisting moment </t>
  </si>
  <si>
    <r>
      <t>M</t>
    </r>
    <r>
      <rPr>
        <sz val="8"/>
        <rFont val="Arial"/>
        <family val="2"/>
      </rPr>
      <t>r</t>
    </r>
  </si>
  <si>
    <t>ignore cohesion</t>
  </si>
  <si>
    <t>Allowable soil bearing capacity</t>
  </si>
  <si>
    <r>
      <t>q</t>
    </r>
    <r>
      <rPr>
        <sz val="8"/>
        <rFont val="Arial"/>
        <family val="2"/>
      </rPr>
      <t>a</t>
    </r>
  </si>
  <si>
    <t>Check Overturning:</t>
  </si>
  <si>
    <t>Check the Eccentricity of Resultant Force</t>
  </si>
  <si>
    <t>to be determined by Geotechnical</t>
  </si>
  <si>
    <t>Engineer</t>
  </si>
  <si>
    <t>Row 1</t>
  </si>
  <si>
    <t>Row 2</t>
  </si>
  <si>
    <t>Row 3</t>
  </si>
  <si>
    <t>Row 4</t>
  </si>
  <si>
    <t>Row 5</t>
  </si>
  <si>
    <t>Row 6</t>
  </si>
  <si>
    <t>Row 7</t>
  </si>
  <si>
    <t>Row 8</t>
  </si>
  <si>
    <t>Row 9</t>
  </si>
  <si>
    <t>Row 10</t>
  </si>
  <si>
    <t>Row 11</t>
  </si>
  <si>
    <t>Row 12</t>
  </si>
  <si>
    <t>Row 13</t>
  </si>
  <si>
    <t>Row 14</t>
  </si>
  <si>
    <t>Row 15</t>
  </si>
  <si>
    <t>BACKFILL</t>
  </si>
  <si>
    <t>EMBEDMENT</t>
  </si>
  <si>
    <t>PROJECT NAME:</t>
  </si>
  <si>
    <t>PROJECT #:</t>
  </si>
  <si>
    <t>LOCATION:</t>
  </si>
  <si>
    <t>SECTION:</t>
  </si>
  <si>
    <t>GEOTECHNICAL ENGINEER:</t>
  </si>
  <si>
    <t>REPORT #:</t>
  </si>
  <si>
    <t>NOTES:</t>
  </si>
  <si>
    <t>DRAWING #:</t>
  </si>
  <si>
    <t>DATE:</t>
  </si>
  <si>
    <t>To: Engineers:</t>
  </si>
  <si>
    <t>Additional calculations may have to be performed including and not limiting to global stability analysis</t>
  </si>
  <si>
    <t>(by Geotechnical Engineer), seismic forces (by Seismic Engineer) and hydraulic forces (by Hydraulic</t>
  </si>
  <si>
    <t>Colin Glass</t>
  </si>
  <si>
    <t>Terra Aqua Gabions</t>
  </si>
  <si>
    <r>
      <t xml:space="preserve">Engineer). </t>
    </r>
    <r>
      <rPr>
        <sz val="10"/>
        <rFont val="Arial"/>
        <family val="2"/>
      </rPr>
      <t>Please check local, State and Federal requirements. The calculator assumes drained uniformed</t>
    </r>
  </si>
  <si>
    <t>retained and foundation soil properties. The calculations should be reviewed, checked and certified by a</t>
  </si>
  <si>
    <t>Terra Aqua is not responsible for the reliability and validity of the geotechnical parameters assumed in the</t>
  </si>
  <si>
    <t>designing with Terra Aqua products.</t>
  </si>
  <si>
    <t>calculations. The calculator is intended to provide design assistance to the engineer for the purpose of</t>
  </si>
  <si>
    <t>Please do not hesitate to contact us if you have any questions or if you are in need of any assistance.</t>
  </si>
  <si>
    <t>We will assist you in anyway we can.</t>
  </si>
  <si>
    <t>Professional Engineer. To the best of our knowledge, the calculator and information was prepared accurately.</t>
  </si>
  <si>
    <t>Row #</t>
  </si>
  <si>
    <t>(ft)</t>
  </si>
  <si>
    <r>
      <t xml:space="preserve">(from toe) </t>
    </r>
    <r>
      <rPr>
        <sz val="10"/>
        <rFont val="Arial"/>
        <family val="2"/>
      </rPr>
      <t>(ft)</t>
    </r>
  </si>
  <si>
    <t>Ph: 800-736-9089 Fax:479-785-0633</t>
  </si>
  <si>
    <t xml:space="preserve"> 1415 N 32nd, Fort Smith, AR 72904</t>
  </si>
  <si>
    <t>Thank you very much for your interest in our products and solutions. The purpose of this calculator is to</t>
  </si>
  <si>
    <t>Additional calculations may have to be performed including and not limiting to global stability</t>
  </si>
  <si>
    <t>analysis (by Geotechnical Engineer), seismic forces (by Seismic Engineer) and hydraulic forces</t>
  </si>
  <si>
    <r>
      <t xml:space="preserve">(by Hydraulic Engineer). </t>
    </r>
    <r>
      <rPr>
        <sz val="10"/>
        <rFont val="Arial"/>
        <family val="2"/>
      </rPr>
      <t>Please check local, State and Federal requirements. The calculator assumes</t>
    </r>
  </si>
  <si>
    <t>drained uniformed retained and foundation soil properties. The calculations should be reviewed, checked</t>
  </si>
  <si>
    <t>and certified by a Professional Engineer. To the best of our knowledge, the calculator and information</t>
  </si>
  <si>
    <t>was prepared accurately. Terra Aqua is not responsible for the reliability and validity of the geotechnical</t>
  </si>
  <si>
    <t>engineer for the purpose of designing with Terra Aqua products.</t>
  </si>
  <si>
    <t>parameters assumed in the calculations. The calculator is intended to provide design assistance to the</t>
  </si>
  <si>
    <t>show the simplicity and ease of designing Terra Aqua Gabions gravity retaining walls. We are using the</t>
  </si>
  <si>
    <t>walls design analysis for verification.</t>
  </si>
  <si>
    <t>familiar Excel environment to illustrate each step of the calculations used in the gabion gravity retaining</t>
  </si>
  <si>
    <t>TERRA AQUA GABIONS GRAVITY RETAINING WALL CALCULATIONS</t>
  </si>
  <si>
    <r>
      <t>(ft</t>
    </r>
    <r>
      <rPr>
        <sz val="10"/>
        <rFont val="Arial"/>
        <family val="2"/>
      </rPr>
      <t>²</t>
    </r>
    <r>
      <rPr>
        <sz val="10"/>
        <rFont val="Arial"/>
        <family val="0"/>
      </rPr>
      <t>)</t>
    </r>
  </si>
  <si>
    <r>
      <t>(ft</t>
    </r>
    <r>
      <rPr>
        <sz val="10"/>
        <rFont val="Arial"/>
        <family val="2"/>
      </rPr>
      <t>³</t>
    </r>
    <r>
      <rPr>
        <sz val="10"/>
        <rFont val="Arial"/>
        <family val="0"/>
      </rPr>
      <t>)</t>
    </r>
  </si>
  <si>
    <t>rw</t>
  </si>
  <si>
    <t>ht</t>
  </si>
  <si>
    <t>mx</t>
  </si>
  <si>
    <t>vlookup</t>
  </si>
  <si>
    <t>w</t>
  </si>
  <si>
    <t>Y Sinω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</si>
</sst>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b/>
      <sz val="18"/>
      <name val="Arial"/>
      <family val="0"/>
    </font>
    <font>
      <b/>
      <sz val="14.5"/>
      <name val="Arial"/>
      <family val="0"/>
    </font>
    <font>
      <sz val="14.5"/>
      <name val="Arial"/>
      <family val="0"/>
    </font>
    <font>
      <sz val="15"/>
      <name val="Arial"/>
      <family val="0"/>
    </font>
    <font>
      <b/>
      <u val="single"/>
      <sz val="15.7"/>
      <name val="Arial"/>
      <family val="2"/>
    </font>
    <font>
      <sz val="9.75"/>
      <name val="Arial"/>
      <family val="2"/>
    </font>
    <font>
      <b/>
      <sz val="10"/>
      <color indexed="10"/>
      <name val="Arial"/>
      <family val="2"/>
    </font>
    <font>
      <b/>
      <sz val="15.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4" xfId="0" applyNumberFormat="1" applyBorder="1" applyAlignment="1">
      <alignment horizontal="center"/>
    </xf>
    <xf numFmtId="164" fontId="0" fillId="0" borderId="0" xfId="0" applyNumberFormat="1" applyFill="1" applyAlignment="1">
      <alignment/>
    </xf>
    <xf numFmtId="164" fontId="0" fillId="0" borderId="1" xfId="0" applyNumberFormat="1" applyBorder="1" applyAlignment="1">
      <alignment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5" xfId="0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/>
      <protection hidden="1"/>
    </xf>
    <xf numFmtId="164" fontId="0" fillId="0" borderId="1" xfId="0" applyNumberFormat="1" applyBorder="1" applyAlignment="1" applyProtection="1">
      <alignment/>
      <protection hidden="1"/>
    </xf>
    <xf numFmtId="164" fontId="0" fillId="0" borderId="0" xfId="0" applyNumberFormat="1" applyAlignment="1" applyProtection="1">
      <alignment horizontal="center"/>
      <protection hidden="1"/>
    </xf>
    <xf numFmtId="164" fontId="0" fillId="0" borderId="1" xfId="0" applyNumberFormat="1" applyFill="1" applyBorder="1" applyAlignment="1" applyProtection="1">
      <alignment/>
      <protection hidden="1"/>
    </xf>
    <xf numFmtId="164" fontId="0" fillId="0" borderId="1" xfId="0" applyNumberFormat="1" applyFill="1" applyBorder="1" applyAlignment="1" applyProtection="1">
      <alignment horizontal="center"/>
      <protection hidden="1"/>
    </xf>
    <xf numFmtId="164" fontId="0" fillId="0" borderId="0" xfId="0" applyNumberFormat="1" applyFill="1" applyBorder="1" applyAlignment="1" applyProtection="1">
      <alignment horizontal="center"/>
      <protection hidden="1"/>
    </xf>
    <xf numFmtId="164" fontId="0" fillId="0" borderId="4" xfId="0" applyNumberFormat="1" applyFill="1" applyBorder="1" applyAlignment="1" applyProtection="1">
      <alignment horizontal="center"/>
      <protection hidden="1"/>
    </xf>
    <xf numFmtId="164" fontId="0" fillId="0" borderId="2" xfId="0" applyNumberFormat="1" applyFill="1" applyBorder="1" applyAlignment="1" applyProtection="1">
      <alignment horizontal="center"/>
      <protection hidden="1"/>
    </xf>
    <xf numFmtId="164" fontId="0" fillId="0" borderId="0" xfId="0" applyNumberFormat="1" applyFill="1" applyAlignment="1" applyProtection="1">
      <alignment/>
      <protection hidden="1"/>
    </xf>
    <xf numFmtId="164" fontId="0" fillId="0" borderId="3" xfId="0" applyNumberFormat="1" applyFill="1" applyBorder="1" applyAlignment="1" applyProtection="1">
      <alignment horizontal="center"/>
      <protection hidden="1"/>
    </xf>
    <xf numFmtId="164" fontId="0" fillId="0" borderId="1" xfId="0" applyNumberFormat="1" applyFont="1" applyBorder="1" applyAlignment="1" applyProtection="1">
      <alignment horizontal="center"/>
      <protection hidden="1"/>
    </xf>
    <xf numFmtId="164" fontId="0" fillId="0" borderId="0" xfId="0" applyNumberFormat="1" applyFill="1" applyAlignment="1" applyProtection="1">
      <alignment horizontal="center"/>
      <protection hidden="1"/>
    </xf>
    <xf numFmtId="164" fontId="0" fillId="0" borderId="0" xfId="0" applyNumberFormat="1" applyFont="1" applyAlignment="1" applyProtection="1">
      <alignment horizontal="center"/>
      <protection hidden="1"/>
    </xf>
    <xf numFmtId="164" fontId="0" fillId="0" borderId="0" xfId="0" applyNumberFormat="1" applyFont="1" applyFill="1" applyAlignment="1" applyProtection="1">
      <alignment horizontal="center"/>
      <protection hidden="1"/>
    </xf>
    <xf numFmtId="164" fontId="0" fillId="0" borderId="1" xfId="0" applyNumberFormat="1" applyBorder="1" applyAlignment="1" applyProtection="1">
      <alignment horizontal="center"/>
      <protection hidden="1"/>
    </xf>
    <xf numFmtId="0" fontId="2" fillId="0" borderId="1" xfId="0" applyFont="1" applyBorder="1" applyAlignment="1">
      <alignment horizontal="center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Fill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64" fontId="0" fillId="2" borderId="0" xfId="0" applyNumberFormat="1" applyFill="1" applyBorder="1" applyAlignment="1" applyProtection="1">
      <alignment horizontal="center"/>
      <protection hidden="1"/>
    </xf>
    <xf numFmtId="164" fontId="0" fillId="2" borderId="0" xfId="0" applyNumberFormat="1" applyFill="1" applyAlignment="1" applyProtection="1">
      <alignment horizontal="center"/>
      <protection hidden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170" fontId="0" fillId="0" borderId="0" xfId="0" applyNumberFormat="1" applyAlignment="1">
      <alignment horizontal="center"/>
    </xf>
    <xf numFmtId="170" fontId="0" fillId="0" borderId="0" xfId="0" applyNumberFormat="1" applyFill="1" applyAlignment="1">
      <alignment horizontal="center"/>
    </xf>
    <xf numFmtId="2" fontId="0" fillId="0" borderId="1" xfId="0" applyNumberForma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2" fontId="0" fillId="0" borderId="0" xfId="0" applyNumberFormat="1" applyFont="1" applyAlignment="1" applyProtection="1">
      <alignment/>
      <protection hidden="1"/>
    </xf>
    <xf numFmtId="2" fontId="0" fillId="0" borderId="0" xfId="0" applyNumberFormat="1" applyFon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>
      <alignment horizontal="right"/>
    </xf>
    <xf numFmtId="170" fontId="0" fillId="0" borderId="1" xfId="0" applyNumberFormat="1" applyBorder="1" applyAlignment="1">
      <alignment horizontal="center"/>
    </xf>
    <xf numFmtId="0" fontId="3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164" fontId="0" fillId="3" borderId="0" xfId="0" applyNumberFormat="1" applyFill="1" applyAlignment="1" applyProtection="1">
      <alignment/>
      <protection locked="0"/>
    </xf>
    <xf numFmtId="164" fontId="13" fillId="3" borderId="0" xfId="0" applyNumberFormat="1" applyFont="1" applyFill="1" applyAlignment="1" applyProtection="1">
      <alignment/>
      <protection locked="0"/>
    </xf>
    <xf numFmtId="170" fontId="0" fillId="3" borderId="0" xfId="0" applyNumberFormat="1" applyFill="1" applyAlignment="1" applyProtection="1">
      <alignment horizontal="center"/>
      <protection locked="0"/>
    </xf>
    <xf numFmtId="170" fontId="0" fillId="3" borderId="0" xfId="0" applyNumberFormat="1" applyFont="1" applyFill="1" applyBorder="1" applyAlignment="1" applyProtection="1">
      <alignment horizontal="center"/>
      <protection locked="0"/>
    </xf>
    <xf numFmtId="170" fontId="0" fillId="3" borderId="1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Alignment="1" applyProtection="1">
      <alignment horizontal="center"/>
      <protection locked="0"/>
    </xf>
    <xf numFmtId="164" fontId="0" fillId="3" borderId="0" xfId="0" applyNumberFormat="1" applyFill="1" applyAlignment="1" applyProtection="1">
      <alignment horizontal="center"/>
      <protection locked="0"/>
    </xf>
    <xf numFmtId="0" fontId="0" fillId="3" borderId="0" xfId="0" applyFill="1" applyAlignment="1" applyProtection="1">
      <alignment/>
      <protection locked="0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2">
    <dxf>
      <font>
        <color rgb="FFFF0000"/>
      </font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GABION RETAINING WALL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505"/>
          <c:w val="0.82525"/>
          <c:h val="0.92275"/>
        </c:manualLayout>
      </c:layout>
      <c:scatterChart>
        <c:scatterStyle val="line"/>
        <c:varyColors val="0"/>
        <c:ser>
          <c:idx val="0"/>
          <c:order val="0"/>
          <c:tx>
            <c:v>ROW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'Gravity Wall Calculator'!$B$101:$B$105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'Gravity Wall Calculator'!$C$101:$C$105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ROW 2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'Gravity Wall Calculator'!$B$107:$B$111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'Gravity Wall Calculator'!$C$107:$C$111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ROW 3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'Gravity Wall Calculator'!$B$113:$B$117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'Gravity Wall Calculator'!$C$113:$C$117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ROW 4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'Gravity Wall Calculator'!$B$119:$B$123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'Gravity Wall Calculator'!$C$119:$C$123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ROW 5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'Gravity Wall Calculator'!$B$125:$B$129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'Gravity Wall Calculator'!$C$125:$C$129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ROW 6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'Gravity Wall Calculator'!$G$101:$G$105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'Gravity Wall Calculator'!$H$101:$H$105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ROW 7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'Gravity Wall Calculator'!$G$107:$G$111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'Gravity Wall Calculator'!$H$107:$H$111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ROW 8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'Gravity Wall Calculator'!$G$113:$G$117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'Gravity Wall Calculator'!$H$113:$H$117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ROW 9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'Gravity Wall Calculator'!$G$119:$G$123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'Gravity Wall Calculator'!$H$119:$H$123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ROW 10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'Gravity Wall Calculator'!$G$125:$G$129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'Gravity Wall Calculator'!$H$125:$H$129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v>ROW 11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'Gravity Wall Calculator'!$I$101:$I$105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'Gravity Wall Calculator'!$J$101:$J$105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v>ROW 12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'Gravity Wall Calculator'!$I$107:$I$111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'Gravity Wall Calculator'!$J$107:$J$111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v>ROW 13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'Gravity Wall Calculator'!$I$113:$I$117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'Gravity Wall Calculator'!$J$113:$J$117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v>ROW 14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'Gravity Wall Calculator'!$I$119:$I$123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'Gravity Wall Calculator'!$J$119:$J$123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v>ROW 15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'Gravity Wall Calculator'!$I$125:$I$129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'Gravity Wall Calculator'!$J$125:$J$129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v>EMBEDMT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'Gravity Wall Calculator'!$K$120:$K$121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'Gravity Wall Calculator'!$M$120:$M$121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6"/>
          <c:order val="16"/>
          <c:tx>
            <c:v>BACKFILL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'Gravity Wall Calculator'!$K$125:$K$126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'Gravity Wall Calculator'!$M$125:$M$126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40527206"/>
        <c:axId val="29200535"/>
      </c:scatterChart>
      <c:valAx>
        <c:axId val="40527206"/>
        <c:scaling>
          <c:orientation val="minMax"/>
          <c:max val="36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9200535"/>
        <c:crossesAt val="-3"/>
        <c:crossBetween val="midCat"/>
        <c:dispUnits/>
        <c:majorUnit val="3"/>
        <c:minorUnit val="3"/>
      </c:valAx>
      <c:valAx>
        <c:axId val="29200535"/>
        <c:scaling>
          <c:orientation val="minMax"/>
          <c:max val="45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0527206"/>
        <c:crossesAt val="-3"/>
        <c:crossBetween val="midCat"/>
        <c:dispUnits/>
        <c:majorUnit val="3"/>
        <c:minorUnit val="3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6275"/>
          <c:y val="0.057"/>
          <c:w val="0.13625"/>
          <c:h val="0.71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8</xdr:col>
      <xdr:colOff>361950</xdr:colOff>
      <xdr:row>10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647700"/>
          <a:ext cx="21907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590550</xdr:colOff>
      <xdr:row>152</xdr:row>
      <xdr:rowOff>19050</xdr:rowOff>
    </xdr:from>
    <xdr:to>
      <xdr:col>10</xdr:col>
      <xdr:colOff>647700</xdr:colOff>
      <xdr:row>152</xdr:row>
      <xdr:rowOff>19050</xdr:rowOff>
    </xdr:to>
    <xdr:sp>
      <xdr:nvSpPr>
        <xdr:cNvPr id="1" name="Line 1"/>
        <xdr:cNvSpPr>
          <a:spLocks/>
        </xdr:cNvSpPr>
      </xdr:nvSpPr>
      <xdr:spPr>
        <a:xfrm>
          <a:off x="4429125" y="197358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152</xdr:row>
      <xdr:rowOff>19050</xdr:rowOff>
    </xdr:from>
    <xdr:to>
      <xdr:col>8</xdr:col>
      <xdr:colOff>590550</xdr:colOff>
      <xdr:row>153</xdr:row>
      <xdr:rowOff>142875</xdr:rowOff>
    </xdr:to>
    <xdr:sp>
      <xdr:nvSpPr>
        <xdr:cNvPr id="2" name="Line 2"/>
        <xdr:cNvSpPr>
          <a:spLocks/>
        </xdr:cNvSpPr>
      </xdr:nvSpPr>
      <xdr:spPr>
        <a:xfrm flipH="1">
          <a:off x="4362450" y="19735800"/>
          <a:ext cx="571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153</xdr:row>
      <xdr:rowOff>38100</xdr:rowOff>
    </xdr:from>
    <xdr:to>
      <xdr:col>8</xdr:col>
      <xdr:colOff>523875</xdr:colOff>
      <xdr:row>153</xdr:row>
      <xdr:rowOff>142875</xdr:rowOff>
    </xdr:to>
    <xdr:sp>
      <xdr:nvSpPr>
        <xdr:cNvPr id="3" name="Line 3"/>
        <xdr:cNvSpPr>
          <a:spLocks/>
        </xdr:cNvSpPr>
      </xdr:nvSpPr>
      <xdr:spPr>
        <a:xfrm flipH="1" flipV="1">
          <a:off x="4343400" y="19916775"/>
          <a:ext cx="190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485775</xdr:colOff>
      <xdr:row>153</xdr:row>
      <xdr:rowOff>47625</xdr:rowOff>
    </xdr:from>
    <xdr:to>
      <xdr:col>8</xdr:col>
      <xdr:colOff>504825</xdr:colOff>
      <xdr:row>153</xdr:row>
      <xdr:rowOff>85725</xdr:rowOff>
    </xdr:to>
    <xdr:sp>
      <xdr:nvSpPr>
        <xdr:cNvPr id="4" name="Line 4"/>
        <xdr:cNvSpPr>
          <a:spLocks/>
        </xdr:cNvSpPr>
      </xdr:nvSpPr>
      <xdr:spPr>
        <a:xfrm flipH="1">
          <a:off x="4324350" y="19926300"/>
          <a:ext cx="190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156</xdr:row>
      <xdr:rowOff>19050</xdr:rowOff>
    </xdr:from>
    <xdr:to>
      <xdr:col>10</xdr:col>
      <xdr:colOff>571500</xdr:colOff>
      <xdr:row>156</xdr:row>
      <xdr:rowOff>19050</xdr:rowOff>
    </xdr:to>
    <xdr:sp>
      <xdr:nvSpPr>
        <xdr:cNvPr id="5" name="Line 5"/>
        <xdr:cNvSpPr>
          <a:spLocks/>
        </xdr:cNvSpPr>
      </xdr:nvSpPr>
      <xdr:spPr>
        <a:xfrm>
          <a:off x="4429125" y="203835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552450</xdr:colOff>
      <xdr:row>156</xdr:row>
      <xdr:rowOff>19050</xdr:rowOff>
    </xdr:from>
    <xdr:to>
      <xdr:col>8</xdr:col>
      <xdr:colOff>590550</xdr:colOff>
      <xdr:row>157</xdr:row>
      <xdr:rowOff>142875</xdr:rowOff>
    </xdr:to>
    <xdr:sp>
      <xdr:nvSpPr>
        <xdr:cNvPr id="6" name="Line 6"/>
        <xdr:cNvSpPr>
          <a:spLocks/>
        </xdr:cNvSpPr>
      </xdr:nvSpPr>
      <xdr:spPr>
        <a:xfrm flipH="1">
          <a:off x="4391025" y="20383500"/>
          <a:ext cx="476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157</xdr:row>
      <xdr:rowOff>47625</xdr:rowOff>
    </xdr:from>
    <xdr:to>
      <xdr:col>8</xdr:col>
      <xdr:colOff>552450</xdr:colOff>
      <xdr:row>157</xdr:row>
      <xdr:rowOff>142875</xdr:rowOff>
    </xdr:to>
    <xdr:sp>
      <xdr:nvSpPr>
        <xdr:cNvPr id="7" name="Line 7"/>
        <xdr:cNvSpPr>
          <a:spLocks/>
        </xdr:cNvSpPr>
      </xdr:nvSpPr>
      <xdr:spPr>
        <a:xfrm flipH="1" flipV="1">
          <a:off x="4362450" y="20574000"/>
          <a:ext cx="285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495300</xdr:colOff>
      <xdr:row>157</xdr:row>
      <xdr:rowOff>47625</xdr:rowOff>
    </xdr:from>
    <xdr:to>
      <xdr:col>8</xdr:col>
      <xdr:colOff>523875</xdr:colOff>
      <xdr:row>157</xdr:row>
      <xdr:rowOff>85725</xdr:rowOff>
    </xdr:to>
    <xdr:sp>
      <xdr:nvSpPr>
        <xdr:cNvPr id="8" name="Line 8"/>
        <xdr:cNvSpPr>
          <a:spLocks/>
        </xdr:cNvSpPr>
      </xdr:nvSpPr>
      <xdr:spPr>
        <a:xfrm flipH="1">
          <a:off x="4333875" y="20574000"/>
          <a:ext cx="190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619125</xdr:colOff>
      <xdr:row>36</xdr:row>
      <xdr:rowOff>57150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038475"/>
          <a:ext cx="6610350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57</xdr:row>
      <xdr:rowOff>28575</xdr:rowOff>
    </xdr:from>
    <xdr:to>
      <xdr:col>12</xdr:col>
      <xdr:colOff>638175</xdr:colOff>
      <xdr:row>96</xdr:row>
      <xdr:rowOff>123825</xdr:rowOff>
    </xdr:to>
    <xdr:graphicFrame>
      <xdr:nvGraphicFramePr>
        <xdr:cNvPr id="10" name="Chart 10"/>
        <xdr:cNvGraphicFramePr/>
      </xdr:nvGraphicFramePr>
      <xdr:xfrm>
        <a:off x="47625" y="9544050"/>
        <a:ext cx="6734175" cy="641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3"/>
  <sheetViews>
    <sheetView showGridLines="0" showRowColHeaders="0" tabSelected="1" showOutlineSymbols="0" zoomScale="140" zoomScaleNormal="140" workbookViewId="0" topLeftCell="A1">
      <selection activeCell="G17" sqref="G17"/>
    </sheetView>
  </sheetViews>
  <sheetFormatPr defaultColWidth="9.140625" defaultRowHeight="12.75"/>
  <cols>
    <col min="1" max="1" width="2.28125" style="0" customWidth="1"/>
    <col min="2" max="2" width="6.00390625" style="0" customWidth="1"/>
    <col min="3" max="3" width="9.140625" style="0" bestFit="1" customWidth="1"/>
    <col min="4" max="4" width="7.140625" style="0" customWidth="1"/>
    <col min="12" max="12" width="5.00390625" style="0" customWidth="1"/>
    <col min="13" max="13" width="6.4218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2.75">
      <c r="B2" s="70"/>
      <c r="C2" s="4"/>
      <c r="D2" s="4"/>
      <c r="E2" s="4"/>
      <c r="F2" s="4"/>
      <c r="G2" s="4"/>
      <c r="H2" s="4"/>
      <c r="I2" s="4"/>
      <c r="J2" s="4"/>
      <c r="K2" s="4"/>
      <c r="L2" s="4"/>
      <c r="M2" s="69"/>
    </row>
    <row r="3" spans="2:13" ht="12.75">
      <c r="B3" s="71"/>
      <c r="C3" s="4"/>
      <c r="D3" s="4"/>
      <c r="E3" s="4"/>
      <c r="F3" s="4"/>
      <c r="G3" s="4"/>
      <c r="H3" s="4"/>
      <c r="I3" s="4"/>
      <c r="J3" s="4"/>
      <c r="K3" s="4"/>
      <c r="L3" s="4"/>
      <c r="M3" s="3"/>
    </row>
    <row r="4" spans="2:13" ht="12.75">
      <c r="B4" s="71"/>
      <c r="M4" s="3"/>
    </row>
    <row r="5" spans="2:13" ht="12.75">
      <c r="B5" s="71"/>
      <c r="M5" s="3"/>
    </row>
    <row r="6" spans="2:13" ht="12.75">
      <c r="B6" s="71"/>
      <c r="M6" s="3"/>
    </row>
    <row r="7" spans="2:13" ht="12.75">
      <c r="B7" s="71"/>
      <c r="M7" s="3"/>
    </row>
    <row r="8" spans="2:13" ht="12.75">
      <c r="B8" s="71"/>
      <c r="M8" s="3"/>
    </row>
    <row r="9" spans="2:13" ht="12.75">
      <c r="B9" s="71"/>
      <c r="M9" s="3"/>
    </row>
    <row r="10" spans="2:13" ht="12.75">
      <c r="B10" s="71"/>
      <c r="M10" s="3"/>
    </row>
    <row r="11" spans="2:13" ht="12.75">
      <c r="B11" s="71"/>
      <c r="M11" s="3"/>
    </row>
    <row r="12" spans="2:13" ht="12.75">
      <c r="B12" s="71"/>
      <c r="F12" t="s">
        <v>158</v>
      </c>
      <c r="M12" s="3"/>
    </row>
    <row r="13" spans="2:13" ht="12.75">
      <c r="B13" s="71"/>
      <c r="F13" t="s">
        <v>157</v>
      </c>
      <c r="M13" s="3"/>
    </row>
    <row r="14" spans="2:13" ht="12.75">
      <c r="B14" s="71"/>
      <c r="M14" s="3"/>
    </row>
    <row r="15" spans="2:13" ht="12.75">
      <c r="B15" s="71"/>
      <c r="M15" s="3"/>
    </row>
    <row r="16" spans="2:13" ht="12.75">
      <c r="B16" s="71"/>
      <c r="C16" s="65"/>
      <c r="M16" s="3"/>
    </row>
    <row r="17" spans="2:13" ht="12.75">
      <c r="B17" s="71"/>
      <c r="C17" s="65" t="s">
        <v>141</v>
      </c>
      <c r="M17" s="3"/>
    </row>
    <row r="18" spans="2:13" ht="12.75">
      <c r="B18" s="71"/>
      <c r="C18" s="65"/>
      <c r="M18" s="3"/>
    </row>
    <row r="19" spans="2:13" ht="12.75">
      <c r="B19" s="71"/>
      <c r="C19" s="65" t="s">
        <v>159</v>
      </c>
      <c r="M19" s="3"/>
    </row>
    <row r="20" spans="2:13" ht="12.75">
      <c r="B20" s="71"/>
      <c r="C20" s="65" t="s">
        <v>168</v>
      </c>
      <c r="M20" s="3"/>
    </row>
    <row r="21" spans="2:13" ht="12.75">
      <c r="B21" s="71"/>
      <c r="C21" s="65" t="s">
        <v>170</v>
      </c>
      <c r="M21" s="3"/>
    </row>
    <row r="22" spans="2:13" ht="12.75">
      <c r="B22" s="71"/>
      <c r="C22" s="65" t="s">
        <v>169</v>
      </c>
      <c r="M22" s="3"/>
    </row>
    <row r="23" spans="2:13" ht="12.75">
      <c r="B23" s="71"/>
      <c r="C23" s="65"/>
      <c r="M23" s="3"/>
    </row>
    <row r="24" spans="2:13" ht="12.75">
      <c r="B24" s="71"/>
      <c r="C24" s="8" t="s">
        <v>160</v>
      </c>
      <c r="M24" s="3"/>
    </row>
    <row r="25" spans="2:13" ht="12.75">
      <c r="B25" s="71"/>
      <c r="C25" s="8" t="s">
        <v>161</v>
      </c>
      <c r="M25" s="3"/>
    </row>
    <row r="26" spans="2:13" ht="12.75">
      <c r="B26" s="71"/>
      <c r="C26" s="8" t="s">
        <v>162</v>
      </c>
      <c r="M26" s="3"/>
    </row>
    <row r="27" spans="2:13" ht="12.75">
      <c r="B27" s="71"/>
      <c r="C27" s="65" t="s">
        <v>163</v>
      </c>
      <c r="M27" s="3"/>
    </row>
    <row r="28" spans="2:13" ht="12.75">
      <c r="B28" s="71"/>
      <c r="C28" s="65" t="s">
        <v>164</v>
      </c>
      <c r="M28" s="3"/>
    </row>
    <row r="29" spans="2:13" ht="12.75">
      <c r="B29" s="71"/>
      <c r="C29" s="65" t="s">
        <v>165</v>
      </c>
      <c r="M29" s="3"/>
    </row>
    <row r="30" spans="2:13" ht="12.75">
      <c r="B30" s="71"/>
      <c r="C30" s="65" t="s">
        <v>167</v>
      </c>
      <c r="M30" s="3"/>
    </row>
    <row r="31" spans="2:13" ht="12.75">
      <c r="B31" s="71"/>
      <c r="C31" s="65" t="s">
        <v>166</v>
      </c>
      <c r="M31" s="3"/>
    </row>
    <row r="32" spans="2:13" ht="12.75">
      <c r="B32" s="71"/>
      <c r="C32" s="65"/>
      <c r="M32" s="3"/>
    </row>
    <row r="33" spans="2:13" ht="12.75">
      <c r="B33" s="71"/>
      <c r="C33" s="65" t="s">
        <v>151</v>
      </c>
      <c r="M33" s="3"/>
    </row>
    <row r="34" spans="2:13" ht="12.75">
      <c r="B34" s="71"/>
      <c r="C34" s="65" t="s">
        <v>152</v>
      </c>
      <c r="M34" s="3"/>
    </row>
    <row r="35" spans="2:13" ht="12.75">
      <c r="B35" s="71"/>
      <c r="C35" s="65"/>
      <c r="M35" s="3"/>
    </row>
    <row r="36" spans="2:13" ht="12.75">
      <c r="B36" s="71"/>
      <c r="C36" s="65"/>
      <c r="M36" s="3"/>
    </row>
    <row r="37" spans="2:13" ht="12.75">
      <c r="B37" s="71"/>
      <c r="C37" s="65"/>
      <c r="M37" s="3"/>
    </row>
    <row r="38" spans="2:13" ht="12.75">
      <c r="B38" s="71"/>
      <c r="C38" s="65"/>
      <c r="M38" s="3"/>
    </row>
    <row r="39" spans="2:13" ht="12.75">
      <c r="B39" s="71"/>
      <c r="C39" s="65"/>
      <c r="M39" s="3"/>
    </row>
    <row r="40" spans="2:13" ht="12.75">
      <c r="B40" s="71"/>
      <c r="C40" s="65"/>
      <c r="M40" s="3"/>
    </row>
    <row r="41" spans="2:13" ht="12.75">
      <c r="B41" s="71"/>
      <c r="C41" s="65"/>
      <c r="M41" s="3"/>
    </row>
    <row r="42" spans="2:13" ht="12.75">
      <c r="B42" s="71"/>
      <c r="C42" s="65" t="s">
        <v>144</v>
      </c>
      <c r="M42" s="3"/>
    </row>
    <row r="43" spans="2:13" ht="12.75">
      <c r="B43" s="71"/>
      <c r="C43" s="65"/>
      <c r="M43" s="3"/>
    </row>
    <row r="44" spans="2:13" ht="12.75">
      <c r="B44" s="71"/>
      <c r="C44" s="65" t="s">
        <v>145</v>
      </c>
      <c r="M44" s="3"/>
    </row>
    <row r="45" spans="2:13" ht="12.75">
      <c r="B45" s="71"/>
      <c r="C45" s="65"/>
      <c r="M45" s="3"/>
    </row>
    <row r="46" spans="2:13" ht="12.75">
      <c r="B46" s="71"/>
      <c r="C46" s="66">
        <v>39232</v>
      </c>
      <c r="M46" s="3"/>
    </row>
    <row r="47" spans="2:13" ht="12.75">
      <c r="B47" s="71"/>
      <c r="C47" s="66"/>
      <c r="M47" s="3"/>
    </row>
    <row r="48" spans="2:13" ht="12.75">
      <c r="B48" s="71"/>
      <c r="C48" s="66"/>
      <c r="M48" s="3"/>
    </row>
    <row r="49" spans="2:13" ht="12.75">
      <c r="B49" s="71"/>
      <c r="C49" s="66"/>
      <c r="M49" s="3"/>
    </row>
    <row r="50" spans="2:13" ht="12.75">
      <c r="B50" s="71"/>
      <c r="C50" s="66"/>
      <c r="M50" s="3"/>
    </row>
    <row r="51" spans="2:13" ht="12.75">
      <c r="B51" s="71"/>
      <c r="C51" s="66"/>
      <c r="M51" s="3"/>
    </row>
    <row r="52" spans="2:13" ht="12.75">
      <c r="B52" s="71"/>
      <c r="C52" s="66"/>
      <c r="M52" s="3"/>
    </row>
    <row r="53" spans="2:13" ht="12.75">
      <c r="B53" s="72"/>
      <c r="C53" s="1"/>
      <c r="D53" s="1"/>
      <c r="E53" s="1"/>
      <c r="F53" s="1"/>
      <c r="G53" s="1"/>
      <c r="H53" s="1"/>
      <c r="I53" s="1"/>
      <c r="J53" s="1"/>
      <c r="K53" s="1"/>
      <c r="L53" s="1"/>
      <c r="M53" s="2"/>
    </row>
  </sheetData>
  <sheetProtection password="CB47" sheet="1" objects="1" scenarios="1"/>
  <printOptions/>
  <pageMargins left="0.5" right="0.5" top="1" bottom="1" header="0.5" footer="0.5"/>
  <pageSetup fitToHeight="1" fitToWidth="1" horizontalDpi="300" verticalDpi="3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61"/>
  <sheetViews>
    <sheetView showGridLines="0" showRowColHeaders="0" showOutlineSymbols="0" workbookViewId="0" topLeftCell="A1">
      <selection activeCell="K4" sqref="K4"/>
    </sheetView>
  </sheetViews>
  <sheetFormatPr defaultColWidth="9.140625" defaultRowHeight="12.75"/>
  <cols>
    <col min="1" max="1" width="2.28125" style="0" customWidth="1"/>
    <col min="3" max="3" width="8.421875" style="0" customWidth="1"/>
    <col min="4" max="4" width="7.421875" style="0" customWidth="1"/>
    <col min="5" max="5" width="4.140625" style="0" customWidth="1"/>
    <col min="6" max="6" width="2.7109375" style="0" customWidth="1"/>
    <col min="7" max="7" width="13.7109375" style="0" customWidth="1"/>
    <col min="8" max="8" width="9.7109375" style="0" customWidth="1"/>
    <col min="9" max="9" width="9.57421875" style="0" customWidth="1"/>
    <col min="10" max="10" width="11.28125" style="0" customWidth="1"/>
    <col min="11" max="11" width="10.7109375" style="0" customWidth="1"/>
    <col min="12" max="12" width="3.00390625" style="0" customWidth="1"/>
    <col min="13" max="13" width="10.28125" style="0" customWidth="1"/>
  </cols>
  <sheetData>
    <row r="2" ht="19.5">
      <c r="B2" s="37" t="s">
        <v>171</v>
      </c>
    </row>
    <row r="3" ht="19.5">
      <c r="B3" s="84"/>
    </row>
    <row r="5" spans="2:13" ht="12.75">
      <c r="B5" s="8" t="s">
        <v>132</v>
      </c>
      <c r="F5" s="92"/>
      <c r="G5" s="92"/>
      <c r="H5" s="92"/>
      <c r="I5" s="92"/>
      <c r="J5" s="8" t="s">
        <v>133</v>
      </c>
      <c r="K5" s="92"/>
      <c r="L5" s="92"/>
      <c r="M5" s="92"/>
    </row>
    <row r="6" spans="6:10" ht="17.25">
      <c r="F6" s="92"/>
      <c r="G6" s="92"/>
      <c r="H6" s="92"/>
      <c r="I6" s="92"/>
      <c r="J6" s="18"/>
    </row>
    <row r="7" spans="2:13" ht="12.75">
      <c r="B7" s="8" t="s">
        <v>134</v>
      </c>
      <c r="F7" s="92"/>
      <c r="G7" s="92"/>
      <c r="H7" s="92"/>
      <c r="I7" s="92"/>
      <c r="J7" s="8" t="s">
        <v>135</v>
      </c>
      <c r="K7" s="92"/>
      <c r="L7" s="92"/>
      <c r="M7" s="92"/>
    </row>
    <row r="8" spans="6:10" ht="17.25">
      <c r="F8" s="14"/>
      <c r="G8" s="14"/>
      <c r="H8" s="14"/>
      <c r="I8" s="14"/>
      <c r="J8" s="36"/>
    </row>
    <row r="9" spans="2:13" ht="12.75">
      <c r="B9" s="8" t="s">
        <v>136</v>
      </c>
      <c r="F9" s="92"/>
      <c r="G9" s="92"/>
      <c r="H9" s="92"/>
      <c r="I9" s="92"/>
      <c r="J9" s="8" t="s">
        <v>137</v>
      </c>
      <c r="K9" s="92"/>
      <c r="L9" s="92"/>
      <c r="M9" s="92"/>
    </row>
    <row r="11" spans="2:13" ht="12.75">
      <c r="B11" s="8" t="s">
        <v>138</v>
      </c>
      <c r="C11" s="92"/>
      <c r="D11" s="92"/>
      <c r="E11" s="92"/>
      <c r="F11" s="92"/>
      <c r="G11" s="92"/>
      <c r="H11" s="92"/>
      <c r="I11" s="92"/>
      <c r="J11" s="8" t="s">
        <v>139</v>
      </c>
      <c r="K11" s="92"/>
      <c r="L11" s="92"/>
      <c r="M11" s="92"/>
    </row>
    <row r="12" spans="3:9" ht="12.75">
      <c r="C12" s="92"/>
      <c r="D12" s="92"/>
      <c r="E12" s="92"/>
      <c r="F12" s="92"/>
      <c r="G12" s="92"/>
      <c r="H12" s="92"/>
      <c r="I12" s="92"/>
    </row>
    <row r="13" spans="3:13" ht="12.75">
      <c r="C13" s="92"/>
      <c r="D13" s="92"/>
      <c r="E13" s="92"/>
      <c r="F13" s="92"/>
      <c r="G13" s="92"/>
      <c r="H13" s="92"/>
      <c r="I13" s="92"/>
      <c r="J13" s="8" t="s">
        <v>140</v>
      </c>
      <c r="K13" s="92"/>
      <c r="L13" s="92"/>
      <c r="M13" s="92"/>
    </row>
    <row r="14" spans="3:9" ht="12.75">
      <c r="C14" s="92"/>
      <c r="D14" s="92"/>
      <c r="E14" s="92"/>
      <c r="F14" s="92"/>
      <c r="G14" s="92"/>
      <c r="H14" s="92"/>
      <c r="I14" s="92"/>
    </row>
    <row r="15" spans="3:9" ht="12.75">
      <c r="C15" s="92"/>
      <c r="D15" s="92"/>
      <c r="E15" s="92"/>
      <c r="F15" s="92"/>
      <c r="G15" s="92"/>
      <c r="H15" s="92"/>
      <c r="I15" s="92"/>
    </row>
    <row r="16" spans="3:9" ht="12.75">
      <c r="C16" s="92"/>
      <c r="D16" s="92"/>
      <c r="E16" s="92"/>
      <c r="F16" s="92"/>
      <c r="G16" s="92"/>
      <c r="H16" s="92"/>
      <c r="I16" s="92"/>
    </row>
    <row r="38" ht="12.75">
      <c r="B38" s="8"/>
    </row>
    <row r="39" spans="2:10" ht="12.75">
      <c r="B39" s="8" t="s">
        <v>7</v>
      </c>
      <c r="G39" s="8" t="s">
        <v>8</v>
      </c>
      <c r="H39" s="13" t="s">
        <v>58</v>
      </c>
      <c r="I39" s="8" t="s">
        <v>9</v>
      </c>
      <c r="J39" s="8" t="s">
        <v>11</v>
      </c>
    </row>
    <row r="40" spans="2:10" ht="12.75">
      <c r="B40" s="8"/>
      <c r="F40" s="8"/>
      <c r="H40" s="13" t="s">
        <v>59</v>
      </c>
      <c r="I40" s="8"/>
      <c r="J40" s="8"/>
    </row>
    <row r="42" spans="2:9" ht="12.75">
      <c r="B42" t="s">
        <v>67</v>
      </c>
      <c r="G42" s="7" t="s">
        <v>0</v>
      </c>
      <c r="H42" s="85">
        <v>5.7</v>
      </c>
      <c r="I42" s="7" t="s">
        <v>14</v>
      </c>
    </row>
    <row r="43" spans="2:9" ht="12.75">
      <c r="B43" t="s">
        <v>3</v>
      </c>
      <c r="G43" s="7" t="s">
        <v>4</v>
      </c>
      <c r="H43" s="85">
        <v>32</v>
      </c>
      <c r="I43" s="7" t="s">
        <v>14</v>
      </c>
    </row>
    <row r="44" spans="2:10" ht="12.75">
      <c r="B44" t="s">
        <v>5</v>
      </c>
      <c r="G44" s="7" t="s">
        <v>6</v>
      </c>
      <c r="H44" s="85">
        <v>18</v>
      </c>
      <c r="I44" s="7" t="s">
        <v>14</v>
      </c>
      <c r="J44" s="12"/>
    </row>
    <row r="45" spans="2:9" ht="12.75">
      <c r="B45" t="s">
        <v>66</v>
      </c>
      <c r="G45" s="7" t="s">
        <v>44</v>
      </c>
      <c r="H45" s="85">
        <v>6</v>
      </c>
      <c r="I45" s="7" t="s">
        <v>14</v>
      </c>
    </row>
    <row r="46" spans="2:11" ht="12.75">
      <c r="B46" t="s">
        <v>70</v>
      </c>
      <c r="G46" s="7" t="s">
        <v>71</v>
      </c>
      <c r="H46" s="14">
        <v>0</v>
      </c>
      <c r="I46" s="7" t="s">
        <v>37</v>
      </c>
      <c r="J46" s="23" t="s">
        <v>108</v>
      </c>
      <c r="K46" s="20"/>
    </row>
    <row r="47" spans="2:9" ht="12.75">
      <c r="B47" t="s">
        <v>17</v>
      </c>
      <c r="G47" s="7" t="s">
        <v>18</v>
      </c>
      <c r="H47" s="85">
        <v>100</v>
      </c>
      <c r="I47" s="7" t="s">
        <v>12</v>
      </c>
    </row>
    <row r="48" spans="2:9" ht="12.75">
      <c r="B48" t="s">
        <v>19</v>
      </c>
      <c r="G48" s="7" t="s">
        <v>10</v>
      </c>
      <c r="H48" s="85">
        <v>120</v>
      </c>
      <c r="I48" s="7" t="s">
        <v>12</v>
      </c>
    </row>
    <row r="49" spans="2:9" ht="12.75">
      <c r="B49" t="s">
        <v>27</v>
      </c>
      <c r="G49" s="7" t="s">
        <v>45</v>
      </c>
      <c r="H49" s="85">
        <v>100</v>
      </c>
      <c r="I49" s="7" t="s">
        <v>12</v>
      </c>
    </row>
    <row r="50" spans="2:9" ht="12.75">
      <c r="B50" t="s">
        <v>1</v>
      </c>
      <c r="G50" s="7" t="s">
        <v>2</v>
      </c>
      <c r="H50" s="14">
        <f>+D148</f>
        <v>12</v>
      </c>
      <c r="I50" s="7" t="s">
        <v>22</v>
      </c>
    </row>
    <row r="51" spans="2:9" ht="12.75">
      <c r="B51" t="s">
        <v>35</v>
      </c>
      <c r="G51" s="7" t="s">
        <v>21</v>
      </c>
      <c r="H51" s="14">
        <f>+C147</f>
        <v>7.5</v>
      </c>
      <c r="I51" s="7" t="s">
        <v>22</v>
      </c>
    </row>
    <row r="52" spans="2:9" ht="12.75">
      <c r="B52" t="s">
        <v>68</v>
      </c>
      <c r="G52" s="7" t="s">
        <v>30</v>
      </c>
      <c r="H52" s="85">
        <v>2</v>
      </c>
      <c r="I52" s="7" t="s">
        <v>22</v>
      </c>
    </row>
    <row r="53" spans="2:13" ht="12.75">
      <c r="B53" t="s">
        <v>109</v>
      </c>
      <c r="G53" s="7" t="s">
        <v>110</v>
      </c>
      <c r="H53" s="86">
        <v>1000</v>
      </c>
      <c r="I53" s="7" t="s">
        <v>37</v>
      </c>
      <c r="J53" s="59" t="s">
        <v>113</v>
      </c>
      <c r="K53" s="60"/>
      <c r="L53" s="60"/>
      <c r="M53" s="60"/>
    </row>
    <row r="54" spans="7:10" ht="12.75">
      <c r="G54" s="7"/>
      <c r="H54" s="14"/>
      <c r="I54" s="7"/>
      <c r="J54" s="59" t="s">
        <v>114</v>
      </c>
    </row>
    <row r="55" spans="7:10" ht="12.75">
      <c r="G55" s="7"/>
      <c r="H55" s="14"/>
      <c r="I55" s="7"/>
      <c r="J55" s="8"/>
    </row>
    <row r="56" spans="7:10" ht="12.75">
      <c r="G56" s="7"/>
      <c r="H56" s="14"/>
      <c r="I56" s="7"/>
      <c r="J56" s="8"/>
    </row>
    <row r="57" spans="7:10" ht="12.75">
      <c r="G57" s="7"/>
      <c r="H57" s="14"/>
      <c r="I57" s="7"/>
      <c r="J57" s="8"/>
    </row>
    <row r="58" spans="7:9" ht="12.75">
      <c r="G58" s="7"/>
      <c r="H58" s="14"/>
      <c r="I58" s="7"/>
    </row>
    <row r="59" spans="7:9" ht="12.75">
      <c r="G59" s="7"/>
      <c r="H59" s="14"/>
      <c r="I59" s="7"/>
    </row>
    <row r="60" spans="7:9" ht="12.75">
      <c r="G60" s="7"/>
      <c r="H60" s="14"/>
      <c r="I60" s="7"/>
    </row>
    <row r="61" spans="7:9" ht="12.75">
      <c r="G61" s="7"/>
      <c r="H61" s="14"/>
      <c r="I61" s="7"/>
    </row>
    <row r="62" spans="7:9" ht="12.75">
      <c r="G62" s="7"/>
      <c r="H62" s="14"/>
      <c r="I62" s="7"/>
    </row>
    <row r="63" spans="7:9" ht="12.75">
      <c r="G63" s="7"/>
      <c r="H63" s="14"/>
      <c r="I63" s="7"/>
    </row>
    <row r="64" spans="7:9" ht="12.75">
      <c r="G64" s="7"/>
      <c r="H64" s="14"/>
      <c r="I64" s="7"/>
    </row>
    <row r="65" spans="7:9" ht="12.75">
      <c r="G65" s="7"/>
      <c r="H65" s="14"/>
      <c r="I65" s="7"/>
    </row>
    <row r="66" spans="7:9" ht="12.75">
      <c r="G66" s="7"/>
      <c r="H66" s="14"/>
      <c r="I66" s="7"/>
    </row>
    <row r="67" spans="7:9" ht="12.75">
      <c r="G67" s="7"/>
      <c r="H67" s="14"/>
      <c r="I67" s="7"/>
    </row>
    <row r="68" spans="7:9" ht="12.75">
      <c r="G68" s="7"/>
      <c r="H68" s="14"/>
      <c r="I68" s="7"/>
    </row>
    <row r="69" spans="7:9" ht="12.75">
      <c r="G69" s="7"/>
      <c r="H69" s="14"/>
      <c r="I69" s="7"/>
    </row>
    <row r="70" spans="7:9" ht="12.75">
      <c r="G70" s="7"/>
      <c r="H70" s="14"/>
      <c r="I70" s="7"/>
    </row>
    <row r="71" spans="2:9" ht="12.75">
      <c r="B71" s="33" t="s">
        <v>98</v>
      </c>
      <c r="C71" s="33" t="s">
        <v>100</v>
      </c>
      <c r="G71" s="7"/>
      <c r="H71" s="14"/>
      <c r="I71" s="7"/>
    </row>
    <row r="72" spans="7:9" ht="12.75">
      <c r="G72" s="7"/>
      <c r="H72" s="14"/>
      <c r="I72" s="7"/>
    </row>
    <row r="73" spans="7:9" ht="12.75">
      <c r="G73" s="7"/>
      <c r="H73" s="14"/>
      <c r="I73" s="7"/>
    </row>
    <row r="74" spans="7:9" ht="12.75">
      <c r="G74" s="7"/>
      <c r="H74" s="14"/>
      <c r="I74" s="7"/>
    </row>
    <row r="75" spans="7:9" ht="12.75">
      <c r="G75" s="7"/>
      <c r="H75" s="14"/>
      <c r="I75" s="7"/>
    </row>
    <row r="76" spans="7:9" ht="12.75">
      <c r="G76" s="7"/>
      <c r="H76" s="14"/>
      <c r="I76" s="7"/>
    </row>
    <row r="77" spans="7:9" ht="12.75">
      <c r="G77" s="7"/>
      <c r="H77" s="14"/>
      <c r="I77" s="7"/>
    </row>
    <row r="78" spans="7:9" ht="12.75">
      <c r="G78" s="7"/>
      <c r="H78" s="14"/>
      <c r="I78" s="7"/>
    </row>
    <row r="79" spans="7:9" ht="12.75">
      <c r="G79" s="7"/>
      <c r="H79" s="14"/>
      <c r="I79" s="7"/>
    </row>
    <row r="80" spans="7:9" ht="12.75">
      <c r="G80" s="7"/>
      <c r="H80" s="14"/>
      <c r="I80" s="7"/>
    </row>
    <row r="81" spans="7:9" ht="12.75">
      <c r="G81" s="7"/>
      <c r="H81" s="14"/>
      <c r="I81" s="7"/>
    </row>
    <row r="82" spans="7:9" ht="12.75">
      <c r="G82" s="7"/>
      <c r="H82" s="14"/>
      <c r="I82" s="7"/>
    </row>
    <row r="83" spans="7:9" ht="12.75">
      <c r="G83" s="7"/>
      <c r="H83" s="14"/>
      <c r="I83" s="7"/>
    </row>
    <row r="84" spans="7:9" ht="12.75">
      <c r="G84" s="7"/>
      <c r="H84" s="14"/>
      <c r="I84" s="7"/>
    </row>
    <row r="85" spans="7:9" ht="12.75">
      <c r="G85" s="7"/>
      <c r="H85" s="14"/>
      <c r="I85" s="7"/>
    </row>
    <row r="86" spans="7:9" ht="12.75">
      <c r="G86" s="7"/>
      <c r="H86" s="14"/>
      <c r="I86" s="7"/>
    </row>
    <row r="87" spans="7:9" ht="12.75">
      <c r="G87" s="7"/>
      <c r="H87" s="14"/>
      <c r="I87" s="7"/>
    </row>
    <row r="88" spans="7:9" ht="12.75">
      <c r="G88" s="7"/>
      <c r="H88" s="14"/>
      <c r="I88" s="7"/>
    </row>
    <row r="89" spans="7:9" ht="12.75">
      <c r="G89" s="7"/>
      <c r="H89" s="14"/>
      <c r="I89" s="7"/>
    </row>
    <row r="90" spans="7:9" ht="12.75">
      <c r="G90" s="7"/>
      <c r="H90" s="14"/>
      <c r="I90" s="7"/>
    </row>
    <row r="91" spans="7:9" ht="12.75">
      <c r="G91" s="7"/>
      <c r="H91" s="14"/>
      <c r="I91" s="7"/>
    </row>
    <row r="92" spans="7:9" ht="12.75">
      <c r="G92" s="7"/>
      <c r="H92" s="14"/>
      <c r="I92" s="7"/>
    </row>
    <row r="93" spans="7:9" ht="12.75">
      <c r="G93" s="7"/>
      <c r="H93" s="14"/>
      <c r="I93" s="7"/>
    </row>
    <row r="94" spans="7:9" ht="12.75">
      <c r="G94" s="7"/>
      <c r="H94" s="14"/>
      <c r="I94" s="7"/>
    </row>
    <row r="95" spans="2:10" ht="12.75">
      <c r="B95" s="93"/>
      <c r="C95" s="93"/>
      <c r="G95" s="93"/>
      <c r="H95" s="93"/>
      <c r="I95" s="93"/>
      <c r="J95" s="93"/>
    </row>
    <row r="96" spans="2:10" ht="12.75">
      <c r="B96" s="7"/>
      <c r="C96" s="7"/>
      <c r="G96" s="7"/>
      <c r="H96" s="7"/>
      <c r="I96" s="7"/>
      <c r="J96" s="7"/>
    </row>
    <row r="97" spans="2:10" ht="12.75">
      <c r="B97" s="7"/>
      <c r="C97" s="7"/>
      <c r="G97" s="7"/>
      <c r="H97" s="7"/>
      <c r="I97" s="7"/>
      <c r="J97" s="7"/>
    </row>
    <row r="98" spans="2:10" ht="12.75">
      <c r="B98" s="7"/>
      <c r="C98" s="7"/>
      <c r="G98" s="7"/>
      <c r="H98" s="7"/>
      <c r="I98" s="7"/>
      <c r="J98" s="7"/>
    </row>
    <row r="99" spans="1:14" ht="12.75" hidden="1">
      <c r="A99" s="38"/>
      <c r="B99" s="41" t="s">
        <v>98</v>
      </c>
      <c r="C99" s="41" t="s">
        <v>100</v>
      </c>
      <c r="E99" s="41" t="s">
        <v>175</v>
      </c>
      <c r="F99" s="41" t="s">
        <v>174</v>
      </c>
      <c r="G99" s="41" t="s">
        <v>98</v>
      </c>
      <c r="H99" s="41" t="s">
        <v>100</v>
      </c>
      <c r="I99" s="41" t="s">
        <v>98</v>
      </c>
      <c r="J99" s="41" t="s">
        <v>100</v>
      </c>
      <c r="K99" s="41"/>
      <c r="L99" s="41" t="s">
        <v>174</v>
      </c>
      <c r="M99" s="76" t="s">
        <v>96</v>
      </c>
      <c r="N99" s="41" t="s">
        <v>178</v>
      </c>
    </row>
    <row r="100" spans="1:14" ht="12.75" hidden="1">
      <c r="A100" s="38"/>
      <c r="B100" s="94" t="s">
        <v>115</v>
      </c>
      <c r="C100" s="94"/>
      <c r="E100" s="41"/>
      <c r="G100" s="94" t="s">
        <v>120</v>
      </c>
      <c r="H100" s="94"/>
      <c r="I100" s="94" t="s">
        <v>125</v>
      </c>
      <c r="J100" s="94"/>
      <c r="K100" s="38"/>
      <c r="L100" s="38"/>
      <c r="M100" s="41"/>
      <c r="N100" s="7"/>
    </row>
    <row r="101" spans="1:14" ht="12.75" hidden="1">
      <c r="A101" s="38">
        <v>1</v>
      </c>
      <c r="B101" s="38">
        <v>0</v>
      </c>
      <c r="C101" s="38">
        <v>0</v>
      </c>
      <c r="E101" s="40">
        <f>SUM(D133:D147)</f>
        <v>12</v>
      </c>
      <c r="F101" s="38">
        <v>15</v>
      </c>
      <c r="G101" s="38">
        <f>E111*SIN(RADIANS(H45))+G142*COS(RADIANS(H45))</f>
        <v>1.2543415592118417</v>
      </c>
      <c r="H101" s="38">
        <f>E111*COS(RADIANS(H45))-G142*SIN(RADIANS(H45))</f>
        <v>11.934262744419279</v>
      </c>
      <c r="I101" s="38">
        <f>E106*SIN(RADIANS(H45))+G137*COS(RADIANS(H45))</f>
        <v>1.2543415592118417</v>
      </c>
      <c r="J101" s="38">
        <f>E106*COS(RADIANS(H45))-G137*SIN(RADIANS(H45))</f>
        <v>11.934262744419279</v>
      </c>
      <c r="L101" s="38">
        <f aca="true" t="shared" si="0" ref="L101:L114">IF(C133=0,0,B133)</f>
        <v>0</v>
      </c>
      <c r="M101" s="77">
        <f>G133</f>
        <v>0</v>
      </c>
      <c r="N101" s="73">
        <f aca="true" t="shared" si="1" ref="N101:N115">+C133</f>
        <v>0</v>
      </c>
    </row>
    <row r="102" spans="1:14" ht="12.75" hidden="1">
      <c r="A102" s="38">
        <v>2</v>
      </c>
      <c r="B102" s="38">
        <f>+E115*SIN(RADIANS(H45))</f>
        <v>0.3135853898029604</v>
      </c>
      <c r="C102" s="38">
        <f>+E115*COS(RADIANS(H45))</f>
        <v>2.9835656861048196</v>
      </c>
      <c r="E102" s="40">
        <f>SUM(D134:D147)</f>
        <v>12</v>
      </c>
      <c r="F102">
        <v>14</v>
      </c>
      <c r="G102" s="38">
        <f>E110*SIN(RADIANS(H45))+G142*COS(RADIANS(H45))</f>
        <v>1.2543415592118417</v>
      </c>
      <c r="H102" s="38">
        <f>E110*COS(RADIANS(H45))-G142*SIN(RADIANS(H45))</f>
        <v>11.934262744419279</v>
      </c>
      <c r="I102" s="38">
        <f>E105*SIN(RADIANS(H45))+G137*COS(RADIANS(H45))</f>
        <v>1.2543415592118417</v>
      </c>
      <c r="J102" s="38">
        <f>E105*COS(RADIANS(H45))-G137*SIN(RADIANS(H45))</f>
        <v>11.934262744419279</v>
      </c>
      <c r="L102" s="38">
        <f t="shared" si="0"/>
        <v>0</v>
      </c>
      <c r="M102" s="78">
        <f aca="true" t="shared" si="2" ref="M102:M114">+G134</f>
        <v>0</v>
      </c>
      <c r="N102" s="73">
        <f t="shared" si="1"/>
        <v>0</v>
      </c>
    </row>
    <row r="103" spans="1:14" ht="12.75" hidden="1">
      <c r="A103" s="38">
        <v>3</v>
      </c>
      <c r="B103" s="38">
        <f>(C147+G147)*COS(RADIANS(H45))+B102</f>
        <v>7.77249960506501</v>
      </c>
      <c r="C103" s="38">
        <f>+C102-(SIN(RADIANS(H45))*(C147+G147))</f>
        <v>2.1996022115974188</v>
      </c>
      <c r="E103" s="40">
        <f>SUM(D135:D147)</f>
        <v>12</v>
      </c>
      <c r="F103">
        <v>13</v>
      </c>
      <c r="G103" s="38">
        <f>E110*SIN(RADIANS(H45))+(G142+C142)*COS(RADIANS(H45))</f>
        <v>1.2543415592118417</v>
      </c>
      <c r="H103" s="38">
        <f>E110*COS(RADIANS(H45))-(G142+C142)*SIN(RADIANS(H45))</f>
        <v>11.934262744419279</v>
      </c>
      <c r="I103" s="38">
        <f>E105*SIN(RADIANS(H45))+(G137+C137)*COS(RADIANS(H45))</f>
        <v>1.2543415592118417</v>
      </c>
      <c r="J103" s="38">
        <f>E105*COS(RADIANS(H45))-(G137+C137)*SIN(RADIANS(H45))</f>
        <v>11.934262744419279</v>
      </c>
      <c r="L103" s="38">
        <f t="shared" si="0"/>
        <v>0</v>
      </c>
      <c r="M103" s="78">
        <f t="shared" si="2"/>
        <v>0</v>
      </c>
      <c r="N103" s="73">
        <f t="shared" si="1"/>
        <v>0</v>
      </c>
    </row>
    <row r="104" spans="1:14" ht="12.75" hidden="1">
      <c r="A104" s="38">
        <v>4</v>
      </c>
      <c r="B104" s="38">
        <f>(C147+G147)*COS(RADIANS(H45))</f>
        <v>7.45891421526205</v>
      </c>
      <c r="C104" s="38">
        <f>-(C147+G147)*SIN(RADIANS(H45))</f>
        <v>-0.783963474507401</v>
      </c>
      <c r="E104" s="40">
        <f>SUM(D136:D147)</f>
        <v>12</v>
      </c>
      <c r="F104">
        <v>12</v>
      </c>
      <c r="G104" s="38">
        <f>E111*SIN(RADIANS(H45))+(G142+C142)*COS(RADIANS(H45))</f>
        <v>1.2543415592118417</v>
      </c>
      <c r="H104" s="38">
        <f>E111*COS(RADIANS(H45))-(G142+C142)*SIN(RADIANS(H45))</f>
        <v>11.934262744419279</v>
      </c>
      <c r="I104" s="38">
        <f>E106*SIN(RADIANS(H45))+(G137+C137)*COS(RADIANS(H45))</f>
        <v>1.2543415592118417</v>
      </c>
      <c r="J104" s="38">
        <f>E106*COS(RADIANS(H45))-(G137+C137)*SIN(RADIANS(H45))</f>
        <v>11.934262744419279</v>
      </c>
      <c r="L104" s="38">
        <f t="shared" si="0"/>
        <v>0</v>
      </c>
      <c r="M104" s="78">
        <f t="shared" si="2"/>
        <v>0</v>
      </c>
      <c r="N104" s="73">
        <f t="shared" si="1"/>
        <v>0</v>
      </c>
    </row>
    <row r="105" spans="1:14" ht="12.75" hidden="1">
      <c r="A105" s="38">
        <v>5</v>
      </c>
      <c r="B105" s="38">
        <f>+B101</f>
        <v>0</v>
      </c>
      <c r="C105" s="38">
        <f>+C101</f>
        <v>0</v>
      </c>
      <c r="E105" s="40">
        <f>SUM(D137:D147)</f>
        <v>12</v>
      </c>
      <c r="F105">
        <v>11</v>
      </c>
      <c r="G105" s="38">
        <f>+G101</f>
        <v>1.2543415592118417</v>
      </c>
      <c r="H105" s="38">
        <f>+H101</f>
        <v>11.934262744419279</v>
      </c>
      <c r="I105" s="38">
        <f>+I101</f>
        <v>1.2543415592118417</v>
      </c>
      <c r="J105" s="38">
        <f>+J101</f>
        <v>11.934262744419279</v>
      </c>
      <c r="L105" s="38">
        <f t="shared" si="0"/>
        <v>0</v>
      </c>
      <c r="M105" s="78">
        <f t="shared" si="2"/>
        <v>0</v>
      </c>
      <c r="N105" s="73">
        <f t="shared" si="1"/>
        <v>0</v>
      </c>
    </row>
    <row r="106" spans="1:14" ht="12.75" hidden="1">
      <c r="A106" s="38"/>
      <c r="B106" s="94" t="s">
        <v>116</v>
      </c>
      <c r="C106" s="94"/>
      <c r="E106" s="40">
        <f>SUM(D138:D147)</f>
        <v>12</v>
      </c>
      <c r="F106">
        <v>10</v>
      </c>
      <c r="G106" s="94" t="s">
        <v>121</v>
      </c>
      <c r="H106" s="94"/>
      <c r="I106" s="94" t="s">
        <v>126</v>
      </c>
      <c r="J106" s="94"/>
      <c r="L106" s="38">
        <f t="shared" si="0"/>
        <v>0</v>
      </c>
      <c r="M106" s="78">
        <f t="shared" si="2"/>
        <v>0</v>
      </c>
      <c r="N106" s="73">
        <f t="shared" si="1"/>
        <v>0</v>
      </c>
    </row>
    <row r="107" spans="1:14" ht="12.75" hidden="1">
      <c r="A107" s="38">
        <v>1</v>
      </c>
      <c r="B107" s="38">
        <f>E115*SIN(RADIANS(H45))+G146*COS(RADIANS(H45))</f>
        <v>1.8053682328553702</v>
      </c>
      <c r="C107" s="38">
        <f>E115*COS(RADIANS(H45))-G146*SIN(RADIANS(H45))</f>
        <v>2.8267729912033395</v>
      </c>
      <c r="E107" s="40">
        <f>SUM(D139:D147)</f>
        <v>12</v>
      </c>
      <c r="F107">
        <v>9</v>
      </c>
      <c r="G107" s="38">
        <f>E110*SIN(RADIANS(H45))+G141*COS(RADIANS(H45))</f>
        <v>1.2543415592118417</v>
      </c>
      <c r="H107" s="38">
        <f>E110*COS(RADIANS(H45))-G141*SIN(RADIANS(H45))</f>
        <v>11.934262744419279</v>
      </c>
      <c r="I107" s="38">
        <f>E105*SIN(RADIANS(H45))+G136*COS(RADIANS(H45))</f>
        <v>1.2543415592118417</v>
      </c>
      <c r="J107" s="38">
        <f>E105*COS(RADIANS(H45))-G136*SIN(RADIANS(H45))</f>
        <v>11.934262744419279</v>
      </c>
      <c r="L107" s="38">
        <f t="shared" si="0"/>
        <v>0</v>
      </c>
      <c r="M107" s="77">
        <f t="shared" si="2"/>
        <v>0</v>
      </c>
      <c r="N107" s="73">
        <f t="shared" si="1"/>
        <v>0</v>
      </c>
    </row>
    <row r="108" spans="1:14" ht="12.75" hidden="1">
      <c r="A108" s="38">
        <v>2</v>
      </c>
      <c r="B108" s="38">
        <f>E114*SIN(RADIANS(H45))+G146*COS(RADIANS(H45))</f>
        <v>2.1189536226583305</v>
      </c>
      <c r="C108" s="38">
        <f>E114*COS(RADIANS(H45))-G146*SIN(RADIANS(H45))</f>
        <v>5.810338677308159</v>
      </c>
      <c r="E108" s="40">
        <f>SUM(D140:D147)</f>
        <v>12</v>
      </c>
      <c r="F108">
        <v>8</v>
      </c>
      <c r="G108" s="38">
        <f>E109*SIN(RADIANS(H45))+G141*COS(RADIANS(H45))</f>
        <v>1.2543415592118417</v>
      </c>
      <c r="H108" s="38">
        <f>E109*COS(RADIANS(H45))-G141*SIN(RADIANS(H45))</f>
        <v>11.934262744419279</v>
      </c>
      <c r="I108" s="38">
        <f>E104*SIN(RADIANS(H45))+G136*COS(RADIANS(H45))</f>
        <v>1.2543415592118417</v>
      </c>
      <c r="J108" s="38">
        <f>E104*COS(RADIANS(H45))-G136*SIN(RADIANS(H45))</f>
        <v>11.934262744419279</v>
      </c>
      <c r="L108" s="38">
        <f t="shared" si="0"/>
        <v>0</v>
      </c>
      <c r="M108" s="78">
        <f t="shared" si="2"/>
        <v>0</v>
      </c>
      <c r="N108" s="73">
        <f t="shared" si="1"/>
        <v>0</v>
      </c>
    </row>
    <row r="109" spans="1:14" ht="12.75" hidden="1">
      <c r="A109" s="38">
        <v>3</v>
      </c>
      <c r="B109" s="38">
        <f>E114*SIN(RADIANS(H45))+(C146+G146)*COS(RADIANS(H45))</f>
        <v>8.08608499486797</v>
      </c>
      <c r="C109" s="38">
        <f>+E114*COS(RADIANS(H45))-(C146+G146)*SIN(RADIANS(H45))</f>
        <v>5.183167897702238</v>
      </c>
      <c r="E109" s="40">
        <f>SUM(D141:D147)</f>
        <v>12</v>
      </c>
      <c r="F109">
        <v>7</v>
      </c>
      <c r="G109" s="38">
        <f>E109*SIN(RADIANS(H45))+(G141+C141)*COS(RADIANS(H45))</f>
        <v>1.2543415592118417</v>
      </c>
      <c r="H109" s="38">
        <f>E109*COS(RADIANS(H45))-(G141+C141)*SIN(RADIANS(H45))</f>
        <v>11.934262744419279</v>
      </c>
      <c r="I109" s="38">
        <f>E104*SIN(RADIANS(H45))+(G136+C136)*COS(RADIANS(H45))</f>
        <v>1.2543415592118417</v>
      </c>
      <c r="J109" s="38">
        <f>E104*COS(RADIANS(H45))-(G136+C136)*SIN(RADIANS(H45))</f>
        <v>11.934262744419279</v>
      </c>
      <c r="L109" s="38">
        <f t="shared" si="0"/>
        <v>0</v>
      </c>
      <c r="M109" s="78">
        <f t="shared" si="2"/>
        <v>0</v>
      </c>
      <c r="N109" s="73">
        <f t="shared" si="1"/>
        <v>0</v>
      </c>
    </row>
    <row r="110" spans="1:14" ht="12.75" hidden="1">
      <c r="A110" s="38">
        <v>4</v>
      </c>
      <c r="B110" s="38">
        <f>E115*SIN(RADIANS(H45))+(C146+G146)*COS(RADIANS(H45))</f>
        <v>7.77249960506501</v>
      </c>
      <c r="C110" s="38">
        <f>E115*COS(RADIANS(H45))-(C146+G146)*SIN(RADIANS(H45))</f>
        <v>2.1996022115974188</v>
      </c>
      <c r="E110" s="40">
        <f>SUM(D142:D147)</f>
        <v>12</v>
      </c>
      <c r="F110">
        <v>6</v>
      </c>
      <c r="G110" s="38">
        <f>E110*SIN(RADIANS(H45))+(G141+C141)*COS(RADIANS(H45))</f>
        <v>1.2543415592118417</v>
      </c>
      <c r="H110" s="38">
        <f>E110*COS(RADIANS(H45))-(G141+C141)*SIN(RADIANS(H45))</f>
        <v>11.934262744419279</v>
      </c>
      <c r="I110" s="38">
        <f>E105*SIN(RADIANS(H45))+(G136+C136)*COS(RADIANS(H45))</f>
        <v>1.2543415592118417</v>
      </c>
      <c r="J110" s="38">
        <f>E105*COS(RADIANS(H45))-(G136+C136)*SIN(RADIANS(H45))</f>
        <v>11.934262744419279</v>
      </c>
      <c r="L110" s="38">
        <f t="shared" si="0"/>
        <v>0</v>
      </c>
      <c r="M110" s="78">
        <f t="shared" si="2"/>
        <v>0</v>
      </c>
      <c r="N110" s="73">
        <f t="shared" si="1"/>
        <v>0</v>
      </c>
    </row>
    <row r="111" spans="1:14" ht="12.75" hidden="1">
      <c r="A111" s="38">
        <v>5</v>
      </c>
      <c r="B111" s="38">
        <f>+B107</f>
        <v>1.8053682328553702</v>
      </c>
      <c r="C111" s="38">
        <f>+C107</f>
        <v>2.8267729912033395</v>
      </c>
      <c r="E111" s="40">
        <f>SUM(D143:D147)</f>
        <v>12</v>
      </c>
      <c r="F111">
        <v>5</v>
      </c>
      <c r="G111" s="38">
        <f>+G107</f>
        <v>1.2543415592118417</v>
      </c>
      <c r="H111" s="38">
        <f>+H107</f>
        <v>11.934262744419279</v>
      </c>
      <c r="I111" s="38">
        <f>+I107</f>
        <v>1.2543415592118417</v>
      </c>
      <c r="J111" s="38">
        <f>+J107</f>
        <v>11.934262744419279</v>
      </c>
      <c r="L111" s="38">
        <f t="shared" si="0"/>
        <v>0</v>
      </c>
      <c r="M111" s="78">
        <f t="shared" si="2"/>
        <v>0</v>
      </c>
      <c r="N111" s="73">
        <f t="shared" si="1"/>
        <v>0</v>
      </c>
    </row>
    <row r="112" spans="1:14" ht="12.75" hidden="1">
      <c r="A112" s="38"/>
      <c r="B112" s="94" t="s">
        <v>117</v>
      </c>
      <c r="C112" s="94"/>
      <c r="E112" s="40">
        <f>SUM(D144:D147)</f>
        <v>12</v>
      </c>
      <c r="F112">
        <v>4</v>
      </c>
      <c r="G112" s="94" t="s">
        <v>122</v>
      </c>
      <c r="H112" s="94"/>
      <c r="I112" s="94" t="s">
        <v>127</v>
      </c>
      <c r="J112" s="94"/>
      <c r="L112" s="38">
        <f t="shared" si="0"/>
        <v>4</v>
      </c>
      <c r="M112" s="78">
        <f t="shared" si="2"/>
        <v>4.5</v>
      </c>
      <c r="N112" s="73">
        <f t="shared" si="1"/>
        <v>3</v>
      </c>
    </row>
    <row r="113" spans="1:14" ht="12.75" hidden="1">
      <c r="A113" s="38">
        <v>1</v>
      </c>
      <c r="B113" s="38">
        <f>E114*SIN(RADIANS(H45))+G145*COS(RADIANS(H45))</f>
        <v>3.6107364657107404</v>
      </c>
      <c r="C113" s="38">
        <f>E114*COS(RADIANS(H45))-G145*SIN(RADIANS(H45))</f>
        <v>5.653545982406679</v>
      </c>
      <c r="E113" s="40">
        <f>SUM(D145:D147)</f>
        <v>9</v>
      </c>
      <c r="F113">
        <v>3</v>
      </c>
      <c r="G113" s="38">
        <f>E109*SIN(RADIANS(H45))+G140*COS(RADIANS(H45))</f>
        <v>1.2543415592118417</v>
      </c>
      <c r="H113" s="38">
        <f>E109*COS(RADIANS(H45))-G140*SIN(RADIANS(H45))</f>
        <v>11.934262744419279</v>
      </c>
      <c r="I113" s="38">
        <f>E104*SIN(RADIANS(H45))+G135*COS(RADIANS(H45))</f>
        <v>1.2543415592118417</v>
      </c>
      <c r="J113" s="38">
        <f>E104*COS(RADIANS(H45))-G135*SIN(RADIANS(H45))</f>
        <v>11.934262744419279</v>
      </c>
      <c r="L113" s="38">
        <f t="shared" si="0"/>
        <v>3</v>
      </c>
      <c r="M113" s="77">
        <f t="shared" si="2"/>
        <v>3</v>
      </c>
      <c r="N113" s="73">
        <f t="shared" si="1"/>
        <v>4.5</v>
      </c>
    </row>
    <row r="114" spans="1:14" ht="12.75" hidden="1">
      <c r="A114" s="38">
        <v>2</v>
      </c>
      <c r="B114" s="38">
        <f>E113*SIN(RADIANS(H45))+G145*COS(RADIANS(H45))</f>
        <v>3.9243218555137007</v>
      </c>
      <c r="C114" s="38">
        <f>E113*COS(RADIANS(H45))-G145*SIN(RADIANS(H45))</f>
        <v>8.637111668511498</v>
      </c>
      <c r="E114" s="40">
        <f>SUM(D146:D147)</f>
        <v>6</v>
      </c>
      <c r="F114">
        <v>2</v>
      </c>
      <c r="G114" s="38">
        <f>E108*SIN(RADIANS(H45))+G140*COS(RADIANS(H45))</f>
        <v>1.2543415592118417</v>
      </c>
      <c r="H114" s="38">
        <f>E108*COS(RADIANS(H45))-G140*SIN(RADIANS(H45))</f>
        <v>11.934262744419279</v>
      </c>
      <c r="I114" s="38">
        <f>E103*SIN(RADIANS(H45))+G135*COS(RADIANS(H45))</f>
        <v>1.2543415592118417</v>
      </c>
      <c r="J114" s="38">
        <f>E103*COS(RADIANS(H45))-G135*SIN(RADIANS(H45))</f>
        <v>11.934262744419279</v>
      </c>
      <c r="L114" s="38">
        <f t="shared" si="0"/>
        <v>2</v>
      </c>
      <c r="M114" s="79">
        <f t="shared" si="2"/>
        <v>1.5</v>
      </c>
      <c r="N114" s="73">
        <f t="shared" si="1"/>
        <v>6</v>
      </c>
    </row>
    <row r="115" spans="1:14" ht="12.75" hidden="1">
      <c r="A115" s="38">
        <v>3</v>
      </c>
      <c r="B115" s="38">
        <f>E113*SIN(RADIANS(H45))+(G145+C145)*COS(RADIANS(H45))</f>
        <v>8.399670384670932</v>
      </c>
      <c r="C115" s="38">
        <f>E113*COS(RADIANS(H45))-(G145+C145)*SIN(RADIANS(H45))</f>
        <v>8.166733583807058</v>
      </c>
      <c r="E115" s="42">
        <f>+D147</f>
        <v>3</v>
      </c>
      <c r="F115">
        <v>1</v>
      </c>
      <c r="G115" s="38">
        <f>E108*SIN(RADIANS(H45))+(G140+C140)*COS(RADIANS(H45))</f>
        <v>1.2543415592118417</v>
      </c>
      <c r="H115" s="38">
        <f>E108*COS(RADIANS(H45))-(G140+C140)*SIN(RADIANS(H45))</f>
        <v>11.934262744419279</v>
      </c>
      <c r="I115" s="38">
        <f>E103*SIN(RADIANS(H45))+(G135+C135)*COS(RADIANS(H45))</f>
        <v>1.2543415592118417</v>
      </c>
      <c r="J115" s="38">
        <f>E103*COS(RADIANS(H45))-(G135+C135)*SIN(RADIANS(H45))</f>
        <v>11.934262744419279</v>
      </c>
      <c r="L115" s="43">
        <v>1</v>
      </c>
      <c r="M115" s="43">
        <v>0</v>
      </c>
      <c r="N115" s="82">
        <f t="shared" si="1"/>
        <v>7.5</v>
      </c>
    </row>
    <row r="116" spans="1:14" ht="12.75" hidden="1">
      <c r="A116" s="38">
        <v>4</v>
      </c>
      <c r="B116" s="38">
        <f>E114*SIN(RADIANS(H45))+(G145+C145)*COS(RADIANS(H45))</f>
        <v>8.08608499486797</v>
      </c>
      <c r="C116" s="38">
        <f>E114*COS(RADIANS(H45))-(G145+C145)*SIN(RADIANS(H45))</f>
        <v>5.183167897702238</v>
      </c>
      <c r="E116" s="38">
        <f>MAX(E101:E115)</f>
        <v>12</v>
      </c>
      <c r="G116" s="38">
        <f>E109*SIN(RADIANS(H45))+(G140+C140)*COS(RADIANS(H45))</f>
        <v>1.2543415592118417</v>
      </c>
      <c r="H116" s="38">
        <f>E109*COS(RADIANS(H45))-(G140+C140)*SIN(RADIANS(H45))</f>
        <v>11.934262744419279</v>
      </c>
      <c r="I116" s="38">
        <f>E104*SIN(RADIANS(H45))+(G135+C135)*COS(RADIANS(H45))</f>
        <v>1.2543415592118417</v>
      </c>
      <c r="J116" s="38">
        <f>E104*COS(RADIANS(H45))-(G135+C135)*SIN(RADIANS(H45))</f>
        <v>11.934262744419279</v>
      </c>
      <c r="L116" s="38">
        <f>MAX(L101:L115)</f>
        <v>4</v>
      </c>
      <c r="M116" s="79">
        <f>VLOOKUP(L116,L101:M115,2,FALSE)</f>
        <v>4.5</v>
      </c>
      <c r="N116" s="7">
        <f>VLOOKUP(L116,L101:N115,3,FALSE)</f>
        <v>3</v>
      </c>
    </row>
    <row r="117" spans="1:14" ht="12.75" hidden="1">
      <c r="A117" s="38">
        <v>5</v>
      </c>
      <c r="B117" s="38">
        <f>+B113</f>
        <v>3.6107364657107404</v>
      </c>
      <c r="C117" s="38">
        <f>+C113</f>
        <v>5.653545982406679</v>
      </c>
      <c r="D117" s="80"/>
      <c r="E117" s="38" t="s">
        <v>176</v>
      </c>
      <c r="F117" s="38"/>
      <c r="G117" s="38">
        <f>+G113</f>
        <v>1.2543415592118417</v>
      </c>
      <c r="H117" s="38">
        <f>+H113</f>
        <v>11.934262744419279</v>
      </c>
      <c r="I117" s="38">
        <f>+I113</f>
        <v>1.2543415592118417</v>
      </c>
      <c r="J117" s="38">
        <f>+J113</f>
        <v>11.934262744419279</v>
      </c>
      <c r="K117" s="38"/>
      <c r="L117" s="38" t="s">
        <v>176</v>
      </c>
      <c r="M117" s="81" t="s">
        <v>177</v>
      </c>
      <c r="N117" s="7" t="s">
        <v>177</v>
      </c>
    </row>
    <row r="118" spans="1:13" ht="12.75" hidden="1">
      <c r="A118" s="38"/>
      <c r="B118" s="94" t="s">
        <v>118</v>
      </c>
      <c r="C118" s="94"/>
      <c r="D118" s="38"/>
      <c r="E118" s="38"/>
      <c r="F118" s="38"/>
      <c r="G118" s="94" t="s">
        <v>123</v>
      </c>
      <c r="H118" s="94"/>
      <c r="I118" s="94" t="s">
        <v>128</v>
      </c>
      <c r="J118" s="94"/>
      <c r="K118" s="94" t="s">
        <v>131</v>
      </c>
      <c r="L118" s="94"/>
      <c r="M118" s="94"/>
    </row>
    <row r="119" spans="1:13" ht="12.75" hidden="1">
      <c r="A119" s="38">
        <v>1</v>
      </c>
      <c r="B119" s="38">
        <f>E113*SIN(RADIANS(H45))+G144*COS(RADIANS(H45))</f>
        <v>5.4161046985661105</v>
      </c>
      <c r="C119" s="38">
        <f>E113*COS(RADIANS(H45))-G144*SIN(RADIANS(H45))</f>
        <v>8.480318973610018</v>
      </c>
      <c r="D119" s="39"/>
      <c r="E119" s="39"/>
      <c r="F119" s="38"/>
      <c r="G119" s="38">
        <f>E108*SIN(RADIANS(H45))+G139*COS(RADIANS(H45))</f>
        <v>1.2543415592118417</v>
      </c>
      <c r="H119" s="38">
        <f>E108*COS(RADIANS(H45))-G139*SIN(RADIANS(H45))</f>
        <v>11.934262744419279</v>
      </c>
      <c r="I119" s="38">
        <f>E103*SIN(RADIANS(H45))+G134*COS(RADIANS(H45))</f>
        <v>1.2543415592118417</v>
      </c>
      <c r="J119" s="38">
        <f>E103*COS(RADIANS(H45))-G134*SIN(RADIANS(H45))</f>
        <v>11.934262744419279</v>
      </c>
      <c r="K119" s="41" t="s">
        <v>98</v>
      </c>
      <c r="L119" s="38"/>
      <c r="M119" s="41" t="s">
        <v>100</v>
      </c>
    </row>
    <row r="120" spans="1:14" ht="12.75" hidden="1">
      <c r="A120" s="38">
        <v>2</v>
      </c>
      <c r="B120" s="38">
        <f>E112*SIN(RADIANS(H45))+G144*COS(RADIANS(H45))</f>
        <v>5.729690088369071</v>
      </c>
      <c r="C120" s="38">
        <f>E112*COS(RADIANS(H45))-G144*SIN(RADIANS(H45))</f>
        <v>11.463884659714838</v>
      </c>
      <c r="D120" s="38"/>
      <c r="E120" s="38"/>
      <c r="F120" s="38"/>
      <c r="G120" s="38">
        <f>E107*SIN(RADIANS(H45))+G139*COS(RADIANS(H45))</f>
        <v>1.2543415592118417</v>
      </c>
      <c r="H120" s="38">
        <f>E107*COS(RADIANS(H45))-G139*SIN(RADIANS(H45))</f>
        <v>11.934262744419279</v>
      </c>
      <c r="I120" s="38">
        <f>E102*SIN(RADIANS(H45))+G134*COS(RADIANS(H45))</f>
        <v>1.2543415592118417</v>
      </c>
      <c r="J120" s="38">
        <f>E102*COS(RADIANS(H45))-G134*SIN(RADIANS(H45))</f>
        <v>11.934262744419279</v>
      </c>
      <c r="K120" s="38">
        <f>+H52*SIN(RADIANS(H45))</f>
        <v>0.20905692653530694</v>
      </c>
      <c r="L120" s="38"/>
      <c r="M120" s="38">
        <f>+H52</f>
        <v>2</v>
      </c>
      <c r="N120" s="35"/>
    </row>
    <row r="121" spans="1:13" ht="12.75" hidden="1">
      <c r="A121" s="38">
        <v>3</v>
      </c>
      <c r="B121" s="38">
        <f>E112*SIN(RADIANS(H45))+(G144+C144)*COS(RADIANS(H45))</f>
        <v>8.713255774473891</v>
      </c>
      <c r="C121" s="38">
        <f>E112*COS(RADIANS(H45))-(G144+C144)*SIN(RADIANS(H45))</f>
        <v>11.150299269911878</v>
      </c>
      <c r="D121" s="38"/>
      <c r="E121" s="38"/>
      <c r="F121" s="38"/>
      <c r="G121" s="38">
        <f>E107*SIN(RADIANS(H45))+(G139+C139)*COS(RADIANS(H45))</f>
        <v>1.2543415592118417</v>
      </c>
      <c r="H121" s="38">
        <f>E107*COS(RADIANS(H45))-(G139+C139)*SIN(RADIANS(H45))</f>
        <v>11.934262744419279</v>
      </c>
      <c r="I121" s="38">
        <f>E102*SIN(RADIANS(H45))+(G134+C134)*COS(RADIANS(H45))</f>
        <v>1.2543415592118417</v>
      </c>
      <c r="J121" s="38">
        <f>E102*COS(RADIANS(H45))-(G134+C134)*SIN(RADIANS(H45))</f>
        <v>11.934262744419279</v>
      </c>
      <c r="K121" s="38">
        <f>+K120-3</f>
        <v>-2.790943073464693</v>
      </c>
      <c r="L121" s="38"/>
      <c r="M121" s="38">
        <f>+M120</f>
        <v>2</v>
      </c>
    </row>
    <row r="122" spans="1:13" ht="12.75" hidden="1">
      <c r="A122" s="38">
        <v>4</v>
      </c>
      <c r="B122" s="38">
        <f>E113*SIN(RADIANS(H45))+(G144+C144)*COS(RADIANS(H45))</f>
        <v>8.399670384670932</v>
      </c>
      <c r="C122" s="38">
        <f>E113*COS(RADIANS(H45))-(G144+C144)*SIN(RADIANS(H45))</f>
        <v>8.166733583807058</v>
      </c>
      <c r="D122" s="38"/>
      <c r="E122" s="38"/>
      <c r="F122" s="38"/>
      <c r="G122" s="38">
        <f>E108*SIN(RADIANS(H45))+(G139+C139)*COS(RADIANS(H45))</f>
        <v>1.2543415592118417</v>
      </c>
      <c r="H122" s="38">
        <f>E108*COS(RADIANS(H45))-(G139+C139)*SIN(RADIANS(H45))</f>
        <v>11.934262744419279</v>
      </c>
      <c r="I122" s="38">
        <f>E103*SIN(RADIANS(H45))+(G134+C134)*COS(RADIANS(H45))</f>
        <v>1.2543415592118417</v>
      </c>
      <c r="J122" s="38">
        <f>E103*COS(RADIANS(H45))-(G134+C134)*SIN(RADIANS(H45))</f>
        <v>11.934262744419279</v>
      </c>
      <c r="K122" s="38"/>
      <c r="L122" s="38"/>
      <c r="M122" s="38"/>
    </row>
    <row r="123" spans="1:13" ht="12.75" hidden="1">
      <c r="A123" s="38">
        <v>5</v>
      </c>
      <c r="B123" s="38">
        <f>+B119</f>
        <v>5.4161046985661105</v>
      </c>
      <c r="C123" s="38">
        <f>+C119</f>
        <v>8.480318973610018</v>
      </c>
      <c r="D123" s="38"/>
      <c r="E123" s="38"/>
      <c r="F123" s="38"/>
      <c r="G123" s="38">
        <f>+G119</f>
        <v>1.2543415592118417</v>
      </c>
      <c r="H123" s="38">
        <f>+H119</f>
        <v>11.934262744419279</v>
      </c>
      <c r="I123" s="38">
        <f>+I119</f>
        <v>1.2543415592118417</v>
      </c>
      <c r="J123" s="38">
        <f>+J119</f>
        <v>11.934262744419279</v>
      </c>
      <c r="K123" s="94" t="s">
        <v>130</v>
      </c>
      <c r="L123" s="94"/>
      <c r="M123" s="94"/>
    </row>
    <row r="124" spans="1:13" ht="12.75" hidden="1">
      <c r="A124" s="38"/>
      <c r="B124" s="94" t="s">
        <v>119</v>
      </c>
      <c r="C124" s="94"/>
      <c r="D124" s="38"/>
      <c r="E124" s="38"/>
      <c r="F124" s="38"/>
      <c r="G124" s="94" t="s">
        <v>124</v>
      </c>
      <c r="H124" s="94"/>
      <c r="I124" s="94" t="s">
        <v>129</v>
      </c>
      <c r="J124" s="94"/>
      <c r="K124" s="41" t="s">
        <v>98</v>
      </c>
      <c r="L124" s="38"/>
      <c r="M124" s="41" t="s">
        <v>100</v>
      </c>
    </row>
    <row r="125" spans="1:13" ht="12.75" hidden="1">
      <c r="A125" s="38">
        <v>1</v>
      </c>
      <c r="B125" s="38">
        <f>E112*SIN(RADIANS(H45))+G143*COS(RADIANS(H45))</f>
        <v>1.2543415592118417</v>
      </c>
      <c r="C125" s="38">
        <f>E112*COS(RADIANS(H45))-G143*SIN(RADIANS(H45))</f>
        <v>11.934262744419279</v>
      </c>
      <c r="D125" s="39"/>
      <c r="E125" s="39"/>
      <c r="F125" s="38"/>
      <c r="G125" s="38">
        <f>E107*SIN(RADIANS(H45))+G138*COS(RADIANS(H45))</f>
        <v>1.2543415592118417</v>
      </c>
      <c r="H125" s="38">
        <f>E107*COS(RADIANS(H45))-G138*SIN(RADIANS(H45))</f>
        <v>11.934262744419279</v>
      </c>
      <c r="I125" s="38">
        <f>E102*SIN(RADIANS(H45))+G133*COS(RADIANS(H45))</f>
        <v>1.2543415592118417</v>
      </c>
      <c r="J125" s="38">
        <f>E102*COS(RADIANS(H45))-G133*SIN(RADIANS(H45))</f>
        <v>11.934262744419279</v>
      </c>
      <c r="K125" s="38">
        <f>+E116*SIN(RADIANS(H45))+(M116+N116)*COS(RADIANS(H45))</f>
        <v>8.713255774473891</v>
      </c>
      <c r="L125" s="38"/>
      <c r="M125" s="83">
        <f>E116*COS(RADIANS(H45))-(M116+N116)*SIN(RADIANS(H45))</f>
        <v>11.150299269911878</v>
      </c>
    </row>
    <row r="126" spans="1:13" ht="12.75" hidden="1">
      <c r="A126" s="38">
        <v>2</v>
      </c>
      <c r="B126" s="38">
        <f>E111*SIN(RADIANS(H45))+G143*COS(RADIANS(H45))</f>
        <v>1.2543415592118417</v>
      </c>
      <c r="C126" s="38">
        <f>E111*COS(RADIANS(H45))-G143*SIN(RADIANS(H45))</f>
        <v>11.934262744419279</v>
      </c>
      <c r="D126" s="38"/>
      <c r="E126" s="38"/>
      <c r="F126" s="38"/>
      <c r="G126" s="38">
        <f>E106*SIN(RADIANS(H45))+G138*COS(RADIANS(H45))</f>
        <v>1.2543415592118417</v>
      </c>
      <c r="H126" s="38">
        <f>E106*COS(RADIANS(H45))-G138*SIN(RADIANS(H45))</f>
        <v>11.934262744419279</v>
      </c>
      <c r="I126" s="38">
        <f>E101*SIN(RADIANS(H45))+G133*COS(RADIANS(H45))</f>
        <v>1.2543415592118417</v>
      </c>
      <c r="J126" s="38">
        <f>E101*COS(RADIANS(H45))-G133*SIN(RADIANS(H45))</f>
        <v>11.934262744419279</v>
      </c>
      <c r="K126" s="38">
        <f>+K125+6*COS(RADIANS(H42))</f>
        <v>14.68358919424125</v>
      </c>
      <c r="L126" s="38"/>
      <c r="M126" s="38">
        <f>+M125+6*SIN(RADIANS(H42))</f>
        <v>11.746217768373713</v>
      </c>
    </row>
    <row r="127" spans="1:13" ht="12.75" hidden="1">
      <c r="A127" s="38">
        <v>3</v>
      </c>
      <c r="B127" s="38">
        <f>E111*SIN(RADIANS(H45))+(G143+C143)*COS(RADIANS(H45))</f>
        <v>1.2543415592118417</v>
      </c>
      <c r="C127" s="38">
        <f>E111*COS(RADIANS(H45))-(G143+C143)*SIN(RADIANS(H45))</f>
        <v>11.934262744419279</v>
      </c>
      <c r="D127" s="38"/>
      <c r="E127" s="38"/>
      <c r="F127" s="38"/>
      <c r="G127" s="38">
        <f>E106*SIN(RADIANS(H45))+(G138+C138)*COS(RADIANS(H45))</f>
        <v>1.2543415592118417</v>
      </c>
      <c r="H127" s="38">
        <f>E106*COS(RADIANS(H45))-(G138+C138)*SIN(RADIANS(H45))</f>
        <v>11.934262744419279</v>
      </c>
      <c r="I127" s="38">
        <f>E101*SIN(RADIANS(H45))+(G133+C133)*COS(RADIANS(H45))</f>
        <v>1.2543415592118417</v>
      </c>
      <c r="J127" s="38">
        <f>E101*COS(RADIANS(H45))-(G133+C133)*SIN(RADIANS(H45))</f>
        <v>11.934262744419279</v>
      </c>
      <c r="K127" s="38"/>
      <c r="L127" s="38"/>
      <c r="M127" s="38"/>
    </row>
    <row r="128" spans="1:13" ht="12.75" hidden="1">
      <c r="A128" s="38">
        <v>4</v>
      </c>
      <c r="B128" s="38">
        <f>E112*SIN(RADIANS(H45))+(G143+C143)*COS(RADIANS(H45))</f>
        <v>1.2543415592118417</v>
      </c>
      <c r="C128" s="38">
        <f>E112*COS(RADIANS(H45))-(G143+C143)*SIN(RADIANS(H45))</f>
        <v>11.934262744419279</v>
      </c>
      <c r="D128" s="38"/>
      <c r="E128" s="38"/>
      <c r="F128" s="38"/>
      <c r="G128" s="38">
        <f>E107*SIN(RADIANS(H45))+(G138+C138)*COS(RADIANS(H45))</f>
        <v>1.2543415592118417</v>
      </c>
      <c r="H128" s="38">
        <f>E107*COS(RADIANS(H45))-(G138+C138)*SIN(RADIANS(H45))</f>
        <v>11.934262744419279</v>
      </c>
      <c r="I128" s="38">
        <f>E102*SIN(RADIANS(H45))+(G133+C133)*COS(RADIANS(H45))</f>
        <v>1.2543415592118417</v>
      </c>
      <c r="J128" s="38">
        <f>E102*COS(RADIANS(H45))-(G133+C133)*SIN(RADIANS(H45))</f>
        <v>11.934262744419279</v>
      </c>
      <c r="K128" s="38"/>
      <c r="L128" s="38"/>
      <c r="M128" s="38"/>
    </row>
    <row r="129" spans="1:13" ht="12.75" hidden="1">
      <c r="A129" s="43">
        <v>5</v>
      </c>
      <c r="B129" s="43">
        <f>+B125</f>
        <v>1.2543415592118417</v>
      </c>
      <c r="C129" s="43">
        <f>+C125</f>
        <v>11.934262744419279</v>
      </c>
      <c r="D129" s="43"/>
      <c r="E129" s="43"/>
      <c r="F129" s="43"/>
      <c r="G129" s="43">
        <f>+G125</f>
        <v>1.2543415592118417</v>
      </c>
      <c r="H129" s="43">
        <f>+H125</f>
        <v>11.934262744419279</v>
      </c>
      <c r="I129" s="43">
        <f>+I125</f>
        <v>1.2543415592118417</v>
      </c>
      <c r="J129" s="43">
        <f>+J125</f>
        <v>11.934262744419279</v>
      </c>
      <c r="K129" s="43"/>
      <c r="L129" s="43"/>
      <c r="M129" s="44"/>
    </row>
    <row r="130" spans="1:13" ht="12.75" hidden="1">
      <c r="A130" s="38"/>
      <c r="B130" s="38">
        <f>MAX(B101:B129)</f>
        <v>8.713255774473891</v>
      </c>
      <c r="C130" s="38"/>
      <c r="D130" s="38"/>
      <c r="E130" s="38"/>
      <c r="F130" s="38"/>
      <c r="G130" s="38">
        <f>MAX(G101:G129)</f>
        <v>1.2543415592118417</v>
      </c>
      <c r="H130" s="38"/>
      <c r="I130" s="38">
        <f>MAX(I101:I129)</f>
        <v>1.2543415592118417</v>
      </c>
      <c r="J130" s="38"/>
      <c r="K130" s="38"/>
      <c r="L130" s="38"/>
      <c r="M130" s="38"/>
    </row>
    <row r="131" spans="2:13" ht="12.75">
      <c r="B131" s="13" t="s">
        <v>154</v>
      </c>
      <c r="C131" s="13" t="s">
        <v>94</v>
      </c>
      <c r="D131" s="34" t="s">
        <v>95</v>
      </c>
      <c r="E131" s="13"/>
      <c r="F131" s="13"/>
      <c r="G131" s="13" t="s">
        <v>96</v>
      </c>
      <c r="H131" s="13" t="s">
        <v>97</v>
      </c>
      <c r="I131" s="13" t="s">
        <v>98</v>
      </c>
      <c r="J131" s="13" t="s">
        <v>99</v>
      </c>
      <c r="K131" s="13" t="s">
        <v>100</v>
      </c>
      <c r="L131" s="13"/>
      <c r="M131" s="13" t="s">
        <v>99</v>
      </c>
    </row>
    <row r="132" spans="2:13" ht="12.75">
      <c r="B132" s="7"/>
      <c r="C132" s="7" t="s">
        <v>155</v>
      </c>
      <c r="D132" s="15" t="s">
        <v>155</v>
      </c>
      <c r="E132" s="7"/>
      <c r="F132" s="7"/>
      <c r="G132" s="13" t="s">
        <v>156</v>
      </c>
      <c r="H132" s="7" t="s">
        <v>172</v>
      </c>
      <c r="I132" s="7" t="s">
        <v>155</v>
      </c>
      <c r="J132" s="7" t="s">
        <v>173</v>
      </c>
      <c r="K132" s="7" t="s">
        <v>155</v>
      </c>
      <c r="L132" s="7"/>
      <c r="M132" s="7" t="s">
        <v>173</v>
      </c>
    </row>
    <row r="133" spans="2:13" ht="12.75">
      <c r="B133" s="13">
        <v>15</v>
      </c>
      <c r="C133" s="87"/>
      <c r="D133" s="87"/>
      <c r="E133" s="7"/>
      <c r="F133" s="7"/>
      <c r="G133" s="90"/>
      <c r="H133" s="45">
        <f aca="true" t="shared" si="3" ref="H133:H147">+C133*D133</f>
        <v>0</v>
      </c>
      <c r="I133" s="45">
        <f aca="true" t="shared" si="4" ref="I133:I147">+G133+C133/2</f>
        <v>0</v>
      </c>
      <c r="J133" s="45">
        <f aca="true" t="shared" si="5" ref="J133:J147">+I133*H133</f>
        <v>0</v>
      </c>
      <c r="K133" s="45">
        <f>IF(C133=0,0,D147+D146+D145+D144+D143+D142+D141+D140+D139+D138+D137+D136+D135+D134+D133/2)</f>
        <v>0</v>
      </c>
      <c r="L133" s="45"/>
      <c r="M133" s="45">
        <f aca="true" t="shared" si="6" ref="M133:M147">+K133*H133</f>
        <v>0</v>
      </c>
    </row>
    <row r="134" spans="2:13" ht="12.75">
      <c r="B134" s="13">
        <v>14</v>
      </c>
      <c r="C134" s="87"/>
      <c r="D134" s="87"/>
      <c r="E134" s="7"/>
      <c r="F134" s="7"/>
      <c r="G134" s="90"/>
      <c r="H134" s="45">
        <f t="shared" si="3"/>
        <v>0</v>
      </c>
      <c r="I134" s="45">
        <f t="shared" si="4"/>
        <v>0</v>
      </c>
      <c r="J134" s="45">
        <f t="shared" si="5"/>
        <v>0</v>
      </c>
      <c r="K134" s="45">
        <f>IF(C134=0,0,D147+D146+D145+D144+D143+D142+D141+D140+D139+D138+D137+D136+D135+D134/2)</f>
        <v>0</v>
      </c>
      <c r="L134" s="45"/>
      <c r="M134" s="45">
        <f t="shared" si="6"/>
        <v>0</v>
      </c>
    </row>
    <row r="135" spans="2:13" ht="12.75">
      <c r="B135" s="13">
        <v>13</v>
      </c>
      <c r="C135" s="87"/>
      <c r="D135" s="87"/>
      <c r="E135" s="7"/>
      <c r="F135" s="7"/>
      <c r="G135" s="90"/>
      <c r="H135" s="45">
        <f t="shared" si="3"/>
        <v>0</v>
      </c>
      <c r="I135" s="45">
        <f t="shared" si="4"/>
        <v>0</v>
      </c>
      <c r="J135" s="45">
        <f t="shared" si="5"/>
        <v>0</v>
      </c>
      <c r="K135" s="45">
        <f>IF(C135=0,0,D147+D146+D145+D144+D143+D142+D141+D140+D139+D138+D137+D136+D135/2)</f>
        <v>0</v>
      </c>
      <c r="L135" s="45"/>
      <c r="M135" s="45">
        <f t="shared" si="6"/>
        <v>0</v>
      </c>
    </row>
    <row r="136" spans="2:13" ht="12.75">
      <c r="B136" s="13">
        <v>12</v>
      </c>
      <c r="C136" s="87"/>
      <c r="D136" s="87"/>
      <c r="E136" s="7"/>
      <c r="F136" s="7"/>
      <c r="G136" s="90"/>
      <c r="H136" s="45">
        <f t="shared" si="3"/>
        <v>0</v>
      </c>
      <c r="I136" s="45">
        <f t="shared" si="4"/>
        <v>0</v>
      </c>
      <c r="J136" s="45">
        <f t="shared" si="5"/>
        <v>0</v>
      </c>
      <c r="K136" s="45">
        <f>IF(C136=0,0,D147+D146+D145+D144+D143+D142+D141+D140+D139+D138+D137+D136/2)</f>
        <v>0</v>
      </c>
      <c r="L136" s="45"/>
      <c r="M136" s="45">
        <f t="shared" si="6"/>
        <v>0</v>
      </c>
    </row>
    <row r="137" spans="2:13" ht="12.75">
      <c r="B137" s="13">
        <v>11</v>
      </c>
      <c r="C137" s="87"/>
      <c r="D137" s="87"/>
      <c r="E137" s="7"/>
      <c r="F137" s="7"/>
      <c r="G137" s="90"/>
      <c r="H137" s="45">
        <f t="shared" si="3"/>
        <v>0</v>
      </c>
      <c r="I137" s="45">
        <f t="shared" si="4"/>
        <v>0</v>
      </c>
      <c r="J137" s="45">
        <f t="shared" si="5"/>
        <v>0</v>
      </c>
      <c r="K137" s="45">
        <f>IF(C137=0,0,D147+D146+D145+D144+D143+D142+D141+D140+D139+D138+D137/2)</f>
        <v>0</v>
      </c>
      <c r="L137" s="45"/>
      <c r="M137" s="45">
        <f t="shared" si="6"/>
        <v>0</v>
      </c>
    </row>
    <row r="138" spans="2:13" ht="12.75">
      <c r="B138" s="13">
        <v>10</v>
      </c>
      <c r="C138" s="87"/>
      <c r="D138" s="87"/>
      <c r="E138" s="7"/>
      <c r="F138" s="7"/>
      <c r="G138" s="90"/>
      <c r="H138" s="45">
        <f t="shared" si="3"/>
        <v>0</v>
      </c>
      <c r="I138" s="45">
        <f t="shared" si="4"/>
        <v>0</v>
      </c>
      <c r="J138" s="45">
        <f t="shared" si="5"/>
        <v>0</v>
      </c>
      <c r="K138" s="45">
        <f>IF(C138=0,0,D147+D146+D145+D144+D143+D142+D141+D140+D139+D138/2)</f>
        <v>0</v>
      </c>
      <c r="L138" s="45"/>
      <c r="M138" s="45">
        <f t="shared" si="6"/>
        <v>0</v>
      </c>
    </row>
    <row r="139" spans="2:13" ht="12.75">
      <c r="B139" s="13">
        <v>9</v>
      </c>
      <c r="C139" s="87"/>
      <c r="D139" s="87"/>
      <c r="E139" s="7"/>
      <c r="F139" s="7"/>
      <c r="G139" s="90"/>
      <c r="H139" s="45">
        <f t="shared" si="3"/>
        <v>0</v>
      </c>
      <c r="I139" s="45">
        <f t="shared" si="4"/>
        <v>0</v>
      </c>
      <c r="J139" s="45">
        <f t="shared" si="5"/>
        <v>0</v>
      </c>
      <c r="K139" s="45">
        <f>IF(C139=0,0,D147+D146+D145+D144+D143+D142+D141+D140+D139/2)</f>
        <v>0</v>
      </c>
      <c r="L139" s="45"/>
      <c r="M139" s="45">
        <f t="shared" si="6"/>
        <v>0</v>
      </c>
    </row>
    <row r="140" spans="2:13" ht="12.75">
      <c r="B140" s="13">
        <v>8</v>
      </c>
      <c r="C140" s="87"/>
      <c r="D140" s="87"/>
      <c r="E140" s="7"/>
      <c r="F140" s="7"/>
      <c r="G140" s="90"/>
      <c r="H140" s="45">
        <f t="shared" si="3"/>
        <v>0</v>
      </c>
      <c r="I140" s="45">
        <f t="shared" si="4"/>
        <v>0</v>
      </c>
      <c r="J140" s="45">
        <f t="shared" si="5"/>
        <v>0</v>
      </c>
      <c r="K140" s="45">
        <f>IF(C140=0,0,+D147+D146+D145+D144+D143+D142+D141+D140/2)</f>
        <v>0</v>
      </c>
      <c r="L140" s="45"/>
      <c r="M140" s="45">
        <f t="shared" si="6"/>
        <v>0</v>
      </c>
    </row>
    <row r="141" spans="2:13" ht="12.75">
      <c r="B141" s="13">
        <v>7</v>
      </c>
      <c r="C141" s="87"/>
      <c r="D141" s="87"/>
      <c r="E141" s="7"/>
      <c r="F141" s="7"/>
      <c r="G141" s="90"/>
      <c r="H141" s="45">
        <f t="shared" si="3"/>
        <v>0</v>
      </c>
      <c r="I141" s="45">
        <f t="shared" si="4"/>
        <v>0</v>
      </c>
      <c r="J141" s="45">
        <f t="shared" si="5"/>
        <v>0</v>
      </c>
      <c r="K141" s="45">
        <f>IF(C141=0,0,+D147+D146+D145+D144+D143+D142+D141/2)</f>
        <v>0</v>
      </c>
      <c r="L141" s="45"/>
      <c r="M141" s="45">
        <f t="shared" si="6"/>
        <v>0</v>
      </c>
    </row>
    <row r="142" spans="2:13" ht="12.75">
      <c r="B142" s="13">
        <v>6</v>
      </c>
      <c r="C142" s="87"/>
      <c r="D142" s="87"/>
      <c r="E142" s="7"/>
      <c r="F142" s="7"/>
      <c r="G142" s="90"/>
      <c r="H142" s="45">
        <f t="shared" si="3"/>
        <v>0</v>
      </c>
      <c r="I142" s="45">
        <f t="shared" si="4"/>
        <v>0</v>
      </c>
      <c r="J142" s="45">
        <f t="shared" si="5"/>
        <v>0</v>
      </c>
      <c r="K142" s="45">
        <f>IF(C142=0,0,+D147+D146+D145+D144+D143+D142/2)</f>
        <v>0</v>
      </c>
      <c r="L142" s="45"/>
      <c r="M142" s="45">
        <f t="shared" si="6"/>
        <v>0</v>
      </c>
    </row>
    <row r="143" spans="2:13" ht="12.75">
      <c r="B143" s="13">
        <v>5</v>
      </c>
      <c r="C143" s="87"/>
      <c r="D143" s="87"/>
      <c r="E143" s="7"/>
      <c r="F143" s="7"/>
      <c r="G143" s="90"/>
      <c r="H143" s="45">
        <f t="shared" si="3"/>
        <v>0</v>
      </c>
      <c r="I143" s="45">
        <f t="shared" si="4"/>
        <v>0</v>
      </c>
      <c r="J143" s="45">
        <f t="shared" si="5"/>
        <v>0</v>
      </c>
      <c r="K143" s="45">
        <f>IF(C143=0,0,+D147+D146+D145+D144+D143/2)</f>
        <v>0</v>
      </c>
      <c r="L143" s="45"/>
      <c r="M143" s="45">
        <f t="shared" si="6"/>
        <v>0</v>
      </c>
    </row>
    <row r="144" spans="2:13" ht="12.75">
      <c r="B144" s="13">
        <v>4</v>
      </c>
      <c r="C144" s="87">
        <v>3</v>
      </c>
      <c r="D144" s="87">
        <v>3</v>
      </c>
      <c r="E144" s="7"/>
      <c r="F144" s="7"/>
      <c r="G144" s="90">
        <v>4.5</v>
      </c>
      <c r="H144" s="45">
        <f t="shared" si="3"/>
        <v>9</v>
      </c>
      <c r="I144" s="45">
        <f t="shared" si="4"/>
        <v>6</v>
      </c>
      <c r="J144" s="45">
        <f t="shared" si="5"/>
        <v>54</v>
      </c>
      <c r="K144" s="45">
        <f>IF(C144=0,0,+D147+D146+D145+D144/2)</f>
        <v>10.5</v>
      </c>
      <c r="L144" s="45"/>
      <c r="M144" s="45">
        <f t="shared" si="6"/>
        <v>94.5</v>
      </c>
    </row>
    <row r="145" spans="2:13" ht="12.75">
      <c r="B145" s="13">
        <v>3</v>
      </c>
      <c r="C145" s="88">
        <v>4.5</v>
      </c>
      <c r="D145" s="87">
        <v>3</v>
      </c>
      <c r="E145" s="7"/>
      <c r="F145" s="7"/>
      <c r="G145" s="90">
        <v>3</v>
      </c>
      <c r="H145" s="45">
        <f t="shared" si="3"/>
        <v>13.5</v>
      </c>
      <c r="I145" s="45">
        <f t="shared" si="4"/>
        <v>5.25</v>
      </c>
      <c r="J145" s="45">
        <f t="shared" si="5"/>
        <v>70.875</v>
      </c>
      <c r="K145" s="45">
        <f>IF(C145=0,0,+D147+D146+D145/2)</f>
        <v>7.5</v>
      </c>
      <c r="L145" s="45"/>
      <c r="M145" s="45">
        <f t="shared" si="6"/>
        <v>101.25</v>
      </c>
    </row>
    <row r="146" spans="2:13" ht="12.75">
      <c r="B146" s="13">
        <v>2</v>
      </c>
      <c r="C146" s="87">
        <v>6</v>
      </c>
      <c r="D146" s="87">
        <v>3</v>
      </c>
      <c r="E146" s="7"/>
      <c r="F146" s="7"/>
      <c r="G146" s="90">
        <v>1.5</v>
      </c>
      <c r="H146" s="45">
        <f t="shared" si="3"/>
        <v>18</v>
      </c>
      <c r="I146" s="45">
        <f t="shared" si="4"/>
        <v>4.5</v>
      </c>
      <c r="J146" s="45">
        <f t="shared" si="5"/>
        <v>81</v>
      </c>
      <c r="K146" s="45">
        <f>IF(C146=0,0,+D147+D146/2)</f>
        <v>4.5</v>
      </c>
      <c r="L146" s="45"/>
      <c r="M146" s="45">
        <f t="shared" si="6"/>
        <v>81</v>
      </c>
    </row>
    <row r="147" spans="2:13" ht="12.75">
      <c r="B147" s="58">
        <v>1</v>
      </c>
      <c r="C147" s="89">
        <v>7.5</v>
      </c>
      <c r="D147" s="89">
        <v>3</v>
      </c>
      <c r="E147" s="11"/>
      <c r="F147" s="11"/>
      <c r="G147" s="75">
        <v>0</v>
      </c>
      <c r="H147" s="53">
        <f t="shared" si="3"/>
        <v>22.5</v>
      </c>
      <c r="I147" s="53">
        <f t="shared" si="4"/>
        <v>3.75</v>
      </c>
      <c r="J147" s="53">
        <f t="shared" si="5"/>
        <v>84.375</v>
      </c>
      <c r="K147" s="53">
        <f>IF(C147=0,0,+D147/2)</f>
        <v>1.5</v>
      </c>
      <c r="L147" s="57"/>
      <c r="M147" s="53">
        <f t="shared" si="6"/>
        <v>33.75</v>
      </c>
    </row>
    <row r="148" spans="2:13" ht="12.75">
      <c r="B148" s="7"/>
      <c r="C148" s="73"/>
      <c r="D148" s="74">
        <f>SUM(D133:D147)</f>
        <v>12</v>
      </c>
      <c r="E148" s="7"/>
      <c r="F148" s="7"/>
      <c r="G148" s="7"/>
      <c r="H148" s="45">
        <f>SUM(H133:H147)</f>
        <v>63</v>
      </c>
      <c r="I148" s="45">
        <f>+J148/H148</f>
        <v>4.607142857142857</v>
      </c>
      <c r="J148" s="45">
        <f>SUM(J133:J147)</f>
        <v>290.25</v>
      </c>
      <c r="K148" s="45">
        <f>+M148/H148</f>
        <v>4.928571428571429</v>
      </c>
      <c r="L148" s="45"/>
      <c r="M148" s="45">
        <f>SUM(M133:M147)</f>
        <v>310.5</v>
      </c>
    </row>
    <row r="149" spans="3:12" ht="12.75">
      <c r="C149" s="7"/>
      <c r="D149" s="14"/>
      <c r="G149" s="20"/>
      <c r="H149" s="20"/>
      <c r="I149" s="20"/>
      <c r="J149" s="19"/>
      <c r="K149" s="19"/>
      <c r="L149" s="19"/>
    </row>
    <row r="150" spans="1:9" ht="12.75">
      <c r="A150" s="7">
        <v>1</v>
      </c>
      <c r="B150" s="8" t="s">
        <v>49</v>
      </c>
      <c r="C150" s="7"/>
      <c r="D150" s="14"/>
      <c r="F150" s="7"/>
      <c r="G150" s="7"/>
      <c r="H150" s="19"/>
      <c r="I150" s="7"/>
    </row>
    <row r="151" spans="3:9" ht="12.75">
      <c r="C151" s="7"/>
      <c r="D151" s="14"/>
      <c r="G151" s="7"/>
      <c r="H151" s="20"/>
      <c r="I151" s="7"/>
    </row>
    <row r="152" spans="1:12" ht="12.75">
      <c r="A152" s="7"/>
      <c r="B152" t="s">
        <v>78</v>
      </c>
      <c r="E152" s="10" t="s">
        <v>20</v>
      </c>
      <c r="F152" s="7" t="s">
        <v>13</v>
      </c>
      <c r="G152" s="26"/>
      <c r="H152" s="26"/>
      <c r="I152" s="1" t="s">
        <v>62</v>
      </c>
      <c r="J152" s="26"/>
      <c r="K152" s="26"/>
      <c r="L152" s="19"/>
    </row>
    <row r="153" spans="2:12" ht="12.75">
      <c r="B153" t="s">
        <v>77</v>
      </c>
      <c r="F153" s="7"/>
      <c r="G153" s="4" t="s">
        <v>48</v>
      </c>
      <c r="H153" s="4" t="s">
        <v>60</v>
      </c>
      <c r="I153" s="24" t="s">
        <v>72</v>
      </c>
      <c r="J153" s="30" t="s">
        <v>46</v>
      </c>
      <c r="K153" s="2" t="s">
        <v>47</v>
      </c>
      <c r="L153" s="23" t="s">
        <v>73</v>
      </c>
    </row>
    <row r="154" spans="6:12" ht="12.75">
      <c r="F154" s="7"/>
      <c r="G154" s="19"/>
      <c r="H154" s="19"/>
      <c r="I154" s="24"/>
      <c r="J154" s="4" t="s">
        <v>60</v>
      </c>
      <c r="K154" s="3" t="s">
        <v>61</v>
      </c>
      <c r="L154" s="19"/>
    </row>
    <row r="155" spans="6:12" ht="12.75">
      <c r="F155" s="7"/>
      <c r="G155" s="25"/>
      <c r="H155" s="25"/>
      <c r="I155" s="25"/>
      <c r="J155" s="25"/>
      <c r="K155" s="25"/>
      <c r="L155" s="19"/>
    </row>
    <row r="156" spans="6:12" ht="12.75">
      <c r="F156" s="7" t="s">
        <v>13</v>
      </c>
      <c r="G156" s="46"/>
      <c r="H156" s="46"/>
      <c r="I156" s="47">
        <f>POWER(COS(RADIANS(H43+H45)),2)</f>
        <v>0.6209609477998338</v>
      </c>
      <c r="J156" s="46"/>
      <c r="K156" s="46"/>
      <c r="L156" s="19"/>
    </row>
    <row r="157" spans="6:12" ht="12.75">
      <c r="F157" s="7"/>
      <c r="G157" s="48">
        <f>POWER(COS(RADIANS(H45)),2)</f>
        <v>0.9890738003669027</v>
      </c>
      <c r="H157" s="48">
        <f>COS(RADIANS(H45-H44))</f>
        <v>0.9781476007338057</v>
      </c>
      <c r="I157" s="49" t="s">
        <v>72</v>
      </c>
      <c r="J157" s="47">
        <f>SIN(RADIANS(H44+H43))</f>
        <v>0.766044443118978</v>
      </c>
      <c r="K157" s="50">
        <f>SIN(RADIANS(H43-H42))</f>
        <v>0.44307119082417973</v>
      </c>
      <c r="L157" s="23" t="s">
        <v>73</v>
      </c>
    </row>
    <row r="158" spans="6:12" ht="12.75">
      <c r="F158" s="7"/>
      <c r="G158" s="51"/>
      <c r="H158" s="51"/>
      <c r="I158" s="49"/>
      <c r="J158" s="48">
        <f>COS(RADIANS(H45-H44))</f>
        <v>0.9781476007338057</v>
      </c>
      <c r="K158" s="52">
        <f>COS(RADIANS(H45+H42))</f>
        <v>0.9792228106217657</v>
      </c>
      <c r="L158" s="19"/>
    </row>
    <row r="159" spans="6:12" ht="12.75">
      <c r="F159" s="7"/>
      <c r="G159" s="25"/>
      <c r="H159" s="25"/>
      <c r="I159" s="25"/>
      <c r="J159" s="25"/>
      <c r="K159" s="25"/>
      <c r="L159" s="19"/>
    </row>
    <row r="160" spans="6:12" ht="12.75">
      <c r="F160" s="7" t="s">
        <v>13</v>
      </c>
      <c r="G160" s="53">
        <f>+I156</f>
        <v>0.6209609477998338</v>
      </c>
      <c r="H160" s="19"/>
      <c r="I160" s="19"/>
      <c r="J160" s="19"/>
      <c r="K160" s="19"/>
      <c r="L160" s="19"/>
    </row>
    <row r="161" spans="6:7" ht="12.75">
      <c r="F161" s="7"/>
      <c r="G161" s="45">
        <f>POWER((SQRT(+J157*K157/J158/K158)+1),2)*G157*H157</f>
        <v>2.462104899827367</v>
      </c>
    </row>
    <row r="162" ht="12.75">
      <c r="F162" s="7"/>
    </row>
    <row r="163" spans="5:12" ht="12.75">
      <c r="E163" s="7"/>
      <c r="F163" s="7" t="s">
        <v>13</v>
      </c>
      <c r="G163" s="45">
        <f>+G160/G161</f>
        <v>0.25220734820980745</v>
      </c>
      <c r="H163" s="7"/>
      <c r="I163" s="7"/>
      <c r="J163" s="7"/>
      <c r="K163" s="7"/>
      <c r="L163" s="7"/>
    </row>
    <row r="164" spans="5:12" ht="12.75">
      <c r="E164" s="7"/>
      <c r="F164" s="7"/>
      <c r="G164" s="7"/>
      <c r="H164" s="7"/>
      <c r="I164" s="7"/>
      <c r="J164" s="7"/>
      <c r="K164" s="7"/>
      <c r="L164" s="7"/>
    </row>
    <row r="165" spans="2:12" ht="12.75">
      <c r="B165" t="s">
        <v>83</v>
      </c>
      <c r="E165" s="7"/>
      <c r="F165" s="7"/>
      <c r="G165" s="7"/>
      <c r="H165" s="7"/>
      <c r="I165" s="7"/>
      <c r="J165" s="7"/>
      <c r="K165" s="7"/>
      <c r="L165" s="7"/>
    </row>
    <row r="166" spans="2:12" ht="12.75">
      <c r="B166" t="s">
        <v>93</v>
      </c>
      <c r="E166" s="7"/>
      <c r="F166" s="7"/>
      <c r="G166" s="7"/>
      <c r="H166" s="7"/>
      <c r="I166" s="7"/>
      <c r="J166" s="7"/>
      <c r="K166" s="7"/>
      <c r="L166" s="7"/>
    </row>
    <row r="167" spans="5:12" ht="12.75">
      <c r="E167" s="7"/>
      <c r="F167" s="7"/>
      <c r="G167" s="7"/>
      <c r="H167" s="7"/>
      <c r="I167" s="7"/>
      <c r="J167" s="7"/>
      <c r="K167" s="7"/>
      <c r="L167" s="7"/>
    </row>
    <row r="168" spans="1:12" ht="12.75">
      <c r="A168" s="7"/>
      <c r="B168" t="s">
        <v>84</v>
      </c>
      <c r="E168" s="7" t="s">
        <v>87</v>
      </c>
      <c r="F168" s="7" t="s">
        <v>13</v>
      </c>
      <c r="G168" s="7" t="s">
        <v>75</v>
      </c>
      <c r="H168" s="7" t="s">
        <v>101</v>
      </c>
      <c r="I168" s="10" t="s">
        <v>89</v>
      </c>
      <c r="J168" s="7"/>
      <c r="K168" s="7"/>
      <c r="L168" s="7"/>
    </row>
    <row r="169" spans="5:12" ht="12.75">
      <c r="E169" s="7"/>
      <c r="F169" s="7"/>
      <c r="G169" s="7"/>
      <c r="H169" s="7"/>
      <c r="I169" s="7"/>
      <c r="J169" s="7"/>
      <c r="K169" s="7"/>
      <c r="L169" s="7"/>
    </row>
    <row r="170" spans="5:12" ht="12.75">
      <c r="E170" s="7"/>
      <c r="F170" s="7" t="s">
        <v>13</v>
      </c>
      <c r="G170" s="45">
        <f>0.5*G163*H48*POWER((H50),2)*COS(RADIANS(H44-H45))</f>
        <v>2131.4535483357386</v>
      </c>
      <c r="H170" s="7" t="s">
        <v>40</v>
      </c>
      <c r="I170" s="7"/>
      <c r="J170" s="7"/>
      <c r="K170" s="20"/>
      <c r="L170" s="7"/>
    </row>
    <row r="171" spans="5:12" ht="12.75">
      <c r="E171" s="7"/>
      <c r="F171" s="7"/>
      <c r="G171" s="7"/>
      <c r="H171" s="7"/>
      <c r="I171" s="7"/>
      <c r="J171" s="7"/>
      <c r="K171" s="7"/>
      <c r="L171" s="7"/>
    </row>
    <row r="172" spans="1:12" ht="12.75">
      <c r="A172" s="7"/>
      <c r="B172" t="s">
        <v>85</v>
      </c>
      <c r="E172" s="7" t="s">
        <v>88</v>
      </c>
      <c r="F172" s="20" t="s">
        <v>13</v>
      </c>
      <c r="G172" s="20" t="s">
        <v>74</v>
      </c>
      <c r="H172" s="20" t="s">
        <v>2</v>
      </c>
      <c r="I172" s="10" t="s">
        <v>89</v>
      </c>
      <c r="J172" s="7"/>
      <c r="K172" s="7"/>
      <c r="L172" s="7"/>
    </row>
    <row r="173" spans="2:12" ht="12.75">
      <c r="B173" t="s">
        <v>86</v>
      </c>
      <c r="E173" s="7"/>
      <c r="F173" s="7"/>
      <c r="G173" s="7"/>
      <c r="H173" s="7"/>
      <c r="I173" s="7"/>
      <c r="J173" s="7"/>
      <c r="K173" s="7"/>
      <c r="L173" s="7"/>
    </row>
    <row r="174" spans="5:12" ht="12.75">
      <c r="E174" s="7"/>
      <c r="F174" s="7" t="s">
        <v>13</v>
      </c>
      <c r="G174" s="45">
        <f>+G163*H47*(H50)*COS(RADIANS(H44-H45))</f>
        <v>296.0352150466304</v>
      </c>
      <c r="H174" s="7" t="s">
        <v>40</v>
      </c>
      <c r="I174" s="7"/>
      <c r="J174" s="7"/>
      <c r="K174" s="20"/>
      <c r="L174" s="7"/>
    </row>
    <row r="175" spans="5:12" ht="12.75">
      <c r="E175" s="7"/>
      <c r="F175" s="7"/>
      <c r="G175" s="7"/>
      <c r="H175" s="7"/>
      <c r="I175" s="7"/>
      <c r="J175" s="7"/>
      <c r="K175" s="7"/>
      <c r="L175" s="7"/>
    </row>
    <row r="176" spans="1:12" ht="12.75">
      <c r="A176" s="7"/>
      <c r="B176" t="s">
        <v>90</v>
      </c>
      <c r="E176" s="7" t="s">
        <v>91</v>
      </c>
      <c r="F176" s="7" t="s">
        <v>13</v>
      </c>
      <c r="G176" s="7" t="s">
        <v>92</v>
      </c>
      <c r="H176" s="7"/>
      <c r="I176" s="7"/>
      <c r="J176" s="7"/>
      <c r="K176" s="7"/>
      <c r="L176" s="7"/>
    </row>
    <row r="177" spans="5:12" ht="12.75">
      <c r="E177" s="7"/>
      <c r="F177" s="7"/>
      <c r="G177" s="7"/>
      <c r="H177" s="7"/>
      <c r="I177" s="7"/>
      <c r="J177" s="7"/>
      <c r="K177" s="7"/>
      <c r="L177" s="7"/>
    </row>
    <row r="178" spans="5:12" ht="12.75">
      <c r="E178" s="7"/>
      <c r="F178" s="7" t="s">
        <v>13</v>
      </c>
      <c r="G178" s="45">
        <f>+G174+G170</f>
        <v>2427.488763382369</v>
      </c>
      <c r="H178" s="7" t="s">
        <v>40</v>
      </c>
      <c r="I178" s="7"/>
      <c r="J178" s="7"/>
      <c r="K178" s="7"/>
      <c r="L178" s="7"/>
    </row>
    <row r="179" spans="5:12" ht="12.75">
      <c r="E179" s="20"/>
      <c r="F179" s="20"/>
      <c r="G179" s="20"/>
      <c r="H179" s="20"/>
      <c r="I179" s="20"/>
      <c r="J179" s="20"/>
      <c r="K179" s="20"/>
      <c r="L179" s="20"/>
    </row>
    <row r="180" spans="1:12" ht="12.75">
      <c r="A180" s="13">
        <v>2</v>
      </c>
      <c r="B180" s="8" t="s">
        <v>111</v>
      </c>
      <c r="E180" s="20"/>
      <c r="F180" s="20"/>
      <c r="G180" s="20"/>
      <c r="H180" s="20"/>
      <c r="I180" s="20"/>
      <c r="J180" s="20"/>
      <c r="K180" s="20"/>
      <c r="L180" s="20"/>
    </row>
    <row r="181" spans="5:12" ht="12.75">
      <c r="E181" s="20"/>
      <c r="F181" s="20"/>
      <c r="G181" s="20"/>
      <c r="H181" s="20"/>
      <c r="I181" s="20"/>
      <c r="J181" s="20"/>
      <c r="K181" s="20"/>
      <c r="L181" s="20"/>
    </row>
    <row r="182" spans="1:12" ht="12.75">
      <c r="A182" s="7"/>
      <c r="B182" t="s">
        <v>76</v>
      </c>
      <c r="E182" s="7" t="s">
        <v>23</v>
      </c>
      <c r="F182" s="7" t="s">
        <v>13</v>
      </c>
      <c r="G182" s="7" t="s">
        <v>87</v>
      </c>
      <c r="H182" s="20" t="s">
        <v>102</v>
      </c>
      <c r="I182" s="20" t="s">
        <v>15</v>
      </c>
      <c r="J182" s="7" t="s">
        <v>88</v>
      </c>
      <c r="K182" s="20" t="s">
        <v>103</v>
      </c>
      <c r="L182" s="20"/>
    </row>
    <row r="183" spans="5:12" ht="12.75">
      <c r="E183" s="7"/>
      <c r="F183" s="7"/>
      <c r="G183" s="7"/>
      <c r="H183" s="7"/>
      <c r="I183" s="7"/>
      <c r="J183" s="7"/>
      <c r="K183" s="7"/>
      <c r="L183" s="7"/>
    </row>
    <row r="184" spans="5:12" ht="12.75">
      <c r="E184" s="7"/>
      <c r="F184" s="7" t="s">
        <v>13</v>
      </c>
      <c r="G184" s="45">
        <f>+G170</f>
        <v>2131.4535483357386</v>
      </c>
      <c r="H184" s="45">
        <f>H50/3-H51*SIN(RADIANS(H45))</f>
        <v>3.216036525492599</v>
      </c>
      <c r="I184" s="7" t="s">
        <v>15</v>
      </c>
      <c r="J184" s="45">
        <f>+G174</f>
        <v>296.0352150466304</v>
      </c>
      <c r="K184" s="45">
        <f>H50/2-H51*SIN(RADIANS(H45))</f>
        <v>5.216036525492599</v>
      </c>
      <c r="L184" s="7"/>
    </row>
    <row r="185" spans="5:12" ht="12.75">
      <c r="E185" s="7"/>
      <c r="F185" s="7"/>
      <c r="G185" s="7"/>
      <c r="H185" s="7"/>
      <c r="I185" s="7"/>
      <c r="J185" s="7"/>
      <c r="K185" s="7"/>
      <c r="L185" s="7"/>
    </row>
    <row r="186" spans="5:12" ht="12.75">
      <c r="E186" s="20"/>
      <c r="F186" s="20" t="s">
        <v>13</v>
      </c>
      <c r="G186" s="45">
        <f>(+G184*H184)+(J184*K184)</f>
        <v>8398.96295835382</v>
      </c>
      <c r="H186" s="20" t="s">
        <v>24</v>
      </c>
      <c r="I186" s="20"/>
      <c r="J186" s="20"/>
      <c r="K186" s="20"/>
      <c r="L186" s="20"/>
    </row>
    <row r="187" spans="5:12" ht="12.75">
      <c r="E187" s="20"/>
      <c r="F187" s="20"/>
      <c r="G187" s="20"/>
      <c r="H187" s="20"/>
      <c r="I187" s="20"/>
      <c r="J187" s="20"/>
      <c r="K187" s="20"/>
      <c r="L187" s="20"/>
    </row>
    <row r="188" spans="1:12" ht="12.75">
      <c r="A188" s="7"/>
      <c r="B188" t="s">
        <v>25</v>
      </c>
      <c r="E188" s="20" t="s">
        <v>26</v>
      </c>
      <c r="F188" s="20" t="s">
        <v>13</v>
      </c>
      <c r="G188" s="20" t="s">
        <v>104</v>
      </c>
      <c r="H188" s="20"/>
      <c r="I188" s="20"/>
      <c r="J188" s="20"/>
      <c r="K188" s="20"/>
      <c r="L188" s="20"/>
    </row>
    <row r="189" spans="5:12" ht="12.75">
      <c r="E189" s="20"/>
      <c r="F189" s="20"/>
      <c r="G189" s="20"/>
      <c r="H189" s="20"/>
      <c r="I189" s="20"/>
      <c r="J189" s="20"/>
      <c r="K189" s="20"/>
      <c r="L189" s="20"/>
    </row>
    <row r="190" spans="5:12" ht="12.75">
      <c r="E190" s="20"/>
      <c r="F190" s="20" t="s">
        <v>13</v>
      </c>
      <c r="G190" s="45">
        <f>+H148*H49</f>
        <v>6300</v>
      </c>
      <c r="H190" s="20" t="s">
        <v>28</v>
      </c>
      <c r="I190" s="20"/>
      <c r="J190" s="20"/>
      <c r="K190" s="20"/>
      <c r="L190" s="20"/>
    </row>
    <row r="191" spans="5:12" ht="12.75">
      <c r="E191" s="20"/>
      <c r="F191" s="20"/>
      <c r="G191" s="20"/>
      <c r="H191" s="20"/>
      <c r="I191" s="20"/>
      <c r="J191" s="20"/>
      <c r="K191" s="20"/>
      <c r="L191" s="20"/>
    </row>
    <row r="192" spans="1:13" ht="12.75">
      <c r="A192" s="7"/>
      <c r="B192" t="s">
        <v>29</v>
      </c>
      <c r="E192" s="7" t="s">
        <v>50</v>
      </c>
      <c r="F192" s="7" t="s">
        <v>13</v>
      </c>
      <c r="G192" s="7" t="s">
        <v>179</v>
      </c>
      <c r="H192" s="7" t="s">
        <v>15</v>
      </c>
      <c r="I192" s="7" t="s">
        <v>105</v>
      </c>
      <c r="J192" s="7"/>
      <c r="K192" s="7"/>
      <c r="L192" s="5"/>
      <c r="M192" s="7"/>
    </row>
    <row r="193" spans="5:12" ht="12.75">
      <c r="E193" s="7"/>
      <c r="F193" s="7"/>
      <c r="G193" s="7"/>
      <c r="H193" s="7"/>
      <c r="I193" s="7"/>
      <c r="J193" s="7"/>
      <c r="K193" s="7"/>
      <c r="L193" s="20"/>
    </row>
    <row r="194" spans="5:12" ht="12.75">
      <c r="E194" s="7"/>
      <c r="F194" s="7" t="s">
        <v>13</v>
      </c>
      <c r="G194" s="45">
        <f>+K148*SIN(RADIANS(H45))</f>
        <v>0.515175997533435</v>
      </c>
      <c r="H194" s="20" t="s">
        <v>15</v>
      </c>
      <c r="I194" s="45">
        <f>+I148*COS(RADIANS(H45))</f>
        <v>4.581904446518116</v>
      </c>
      <c r="J194" s="7"/>
      <c r="K194" s="7"/>
      <c r="L194" s="20"/>
    </row>
    <row r="195" spans="5:12" ht="12.75">
      <c r="E195" s="7"/>
      <c r="F195" s="7"/>
      <c r="G195" s="7"/>
      <c r="H195" s="7"/>
      <c r="I195" s="7"/>
      <c r="J195" s="7"/>
      <c r="K195" s="7"/>
      <c r="L195" s="20"/>
    </row>
    <row r="196" spans="6:12" ht="12.75">
      <c r="F196" s="7" t="s">
        <v>13</v>
      </c>
      <c r="G196" s="54">
        <f>+G194+I194</f>
        <v>5.09708044405155</v>
      </c>
      <c r="H196" s="7" t="s">
        <v>22</v>
      </c>
      <c r="I196" s="7"/>
      <c r="J196" s="7"/>
      <c r="K196" s="7"/>
      <c r="L196" s="20"/>
    </row>
    <row r="197" spans="6:12" ht="12.75">
      <c r="F197" s="7"/>
      <c r="G197" s="15"/>
      <c r="H197" s="7"/>
      <c r="I197" s="7"/>
      <c r="J197" s="7"/>
      <c r="K197" s="7"/>
      <c r="L197" s="20"/>
    </row>
    <row r="198" spans="1:13" ht="12.75">
      <c r="A198" s="7"/>
      <c r="B198" t="s">
        <v>106</v>
      </c>
      <c r="E198" s="10" t="s">
        <v>107</v>
      </c>
      <c r="F198" s="7" t="s">
        <v>13</v>
      </c>
      <c r="G198" s="20" t="s">
        <v>79</v>
      </c>
      <c r="H198" s="20"/>
      <c r="I198" s="20"/>
      <c r="J198" s="20"/>
      <c r="K198" s="20"/>
      <c r="L198" s="20"/>
      <c r="M198" s="20"/>
    </row>
    <row r="199" spans="5:12" ht="12.75">
      <c r="E199" s="20"/>
      <c r="F199" s="20"/>
      <c r="G199" s="20"/>
      <c r="H199" s="20"/>
      <c r="I199" s="20"/>
      <c r="J199" s="20"/>
      <c r="K199" s="20"/>
      <c r="L199" s="20"/>
    </row>
    <row r="200" spans="5:12" ht="12.75">
      <c r="E200" s="20"/>
      <c r="F200" s="20" t="s">
        <v>13</v>
      </c>
      <c r="G200" s="45">
        <f>+G190*G196</f>
        <v>32111.606797524768</v>
      </c>
      <c r="H200" s="20" t="s">
        <v>24</v>
      </c>
      <c r="I200" s="20"/>
      <c r="J200" s="20"/>
      <c r="K200" s="20"/>
      <c r="L200" s="20"/>
    </row>
    <row r="201" spans="5:12" ht="12.75">
      <c r="E201" s="20"/>
      <c r="F201" s="20"/>
      <c r="G201" s="20"/>
      <c r="H201" s="20"/>
      <c r="I201" s="20"/>
      <c r="J201" s="20"/>
      <c r="K201" s="20"/>
      <c r="L201" s="20"/>
    </row>
    <row r="202" spans="1:12" ht="12.75">
      <c r="A202" s="7"/>
      <c r="B202" t="s">
        <v>38</v>
      </c>
      <c r="E202" s="7" t="s">
        <v>31</v>
      </c>
      <c r="F202" s="7" t="s">
        <v>13</v>
      </c>
      <c r="G202" s="16" t="s">
        <v>107</v>
      </c>
      <c r="H202" s="20"/>
      <c r="I202" s="20"/>
      <c r="J202" s="20"/>
      <c r="K202" s="20"/>
      <c r="L202" s="20"/>
    </row>
    <row r="203" spans="5:12" ht="12.75">
      <c r="E203" s="7"/>
      <c r="F203" s="7"/>
      <c r="G203" s="5" t="s">
        <v>23</v>
      </c>
      <c r="H203" s="20"/>
      <c r="I203" s="20"/>
      <c r="J203" s="20"/>
      <c r="K203" s="20"/>
      <c r="L203" s="20"/>
    </row>
    <row r="204" spans="5:12" ht="12.75">
      <c r="E204" s="20"/>
      <c r="F204" s="20"/>
      <c r="G204" s="20"/>
      <c r="H204" s="20"/>
      <c r="I204" s="20"/>
      <c r="J204" s="20"/>
      <c r="K204" s="20"/>
      <c r="L204" s="20"/>
    </row>
    <row r="205" spans="5:12" ht="12.75">
      <c r="E205" s="20"/>
      <c r="F205" s="20"/>
      <c r="G205" s="67">
        <f>+G200/G186</f>
        <v>3.823282345302613</v>
      </c>
      <c r="H205" s="54" t="str">
        <f>IF(G205&gt;=I205,"≥","&lt;")</f>
        <v>≥</v>
      </c>
      <c r="I205" s="91">
        <v>2</v>
      </c>
      <c r="J205" s="64" t="str">
        <f>IF(G205&gt;=I205,"O.K","F")</f>
        <v>O.K</v>
      </c>
      <c r="K205" s="20"/>
      <c r="L205" s="20"/>
    </row>
    <row r="206" spans="5:12" ht="12.75">
      <c r="E206" s="20"/>
      <c r="F206" s="20"/>
      <c r="G206" s="48"/>
      <c r="H206" s="54"/>
      <c r="I206" s="29"/>
      <c r="J206" s="29"/>
      <c r="K206" s="20"/>
      <c r="L206" s="20"/>
    </row>
    <row r="207" spans="5:12" ht="12.75">
      <c r="E207" s="20"/>
      <c r="F207" s="20"/>
      <c r="G207" s="20"/>
      <c r="I207" s="20"/>
      <c r="J207" s="20"/>
      <c r="K207" s="20"/>
      <c r="L207" s="20"/>
    </row>
    <row r="208" spans="5:12" ht="12.75">
      <c r="E208" s="20"/>
      <c r="F208" s="20"/>
      <c r="G208" s="20"/>
      <c r="H208" s="20"/>
      <c r="I208" s="20"/>
      <c r="J208" s="20"/>
      <c r="K208" s="20"/>
      <c r="L208" s="20"/>
    </row>
    <row r="209" spans="1:13" ht="12.75">
      <c r="A209" s="13">
        <v>3</v>
      </c>
      <c r="B209" s="8" t="s">
        <v>51</v>
      </c>
      <c r="E209" s="20"/>
      <c r="F209" s="20"/>
      <c r="G209" s="20"/>
      <c r="H209" s="20"/>
      <c r="I209" s="20"/>
      <c r="J209" s="20"/>
      <c r="K209" s="20"/>
      <c r="L209" s="20"/>
      <c r="M209" s="20"/>
    </row>
    <row r="210" spans="5:13" ht="12.75">
      <c r="E210" s="20"/>
      <c r="F210" s="20"/>
      <c r="G210" s="20"/>
      <c r="H210" s="20"/>
      <c r="I210" s="20"/>
      <c r="J210" s="20"/>
      <c r="K210" s="20"/>
      <c r="L210" s="20"/>
      <c r="M210" s="20"/>
    </row>
    <row r="211" spans="5:13" ht="12.75">
      <c r="E211" s="20"/>
      <c r="F211" s="20"/>
      <c r="G211" s="20"/>
      <c r="H211" s="20"/>
      <c r="I211" s="20"/>
      <c r="J211" s="20"/>
      <c r="K211" s="20"/>
      <c r="L211" s="20"/>
      <c r="M211" s="20"/>
    </row>
    <row r="212" spans="1:13" ht="12.75">
      <c r="A212" s="7"/>
      <c r="B212" t="s">
        <v>39</v>
      </c>
      <c r="E212" s="32" t="s">
        <v>63</v>
      </c>
      <c r="F212" s="20" t="s">
        <v>13</v>
      </c>
      <c r="G212" s="20" t="s">
        <v>26</v>
      </c>
      <c r="H212" s="20"/>
      <c r="I212" s="20"/>
      <c r="J212" s="20"/>
      <c r="K212" s="20"/>
      <c r="L212" s="20"/>
      <c r="M212" s="20"/>
    </row>
    <row r="213" spans="5:13" ht="12.75">
      <c r="E213" s="20"/>
      <c r="F213" s="20"/>
      <c r="G213" s="20"/>
      <c r="H213" s="20"/>
      <c r="I213" s="20"/>
      <c r="J213" s="20"/>
      <c r="K213" s="20"/>
      <c r="L213" s="20"/>
      <c r="M213" s="20"/>
    </row>
    <row r="214" spans="5:13" ht="12.75">
      <c r="E214" s="20"/>
      <c r="F214" s="20" t="s">
        <v>13</v>
      </c>
      <c r="G214" s="45">
        <f>+G190</f>
        <v>6300</v>
      </c>
      <c r="H214" s="20" t="s">
        <v>40</v>
      </c>
      <c r="I214" s="20"/>
      <c r="J214" s="20"/>
      <c r="K214" s="20"/>
      <c r="L214" s="20"/>
      <c r="M214" s="20"/>
    </row>
    <row r="215" spans="5:13" ht="12.75">
      <c r="E215" s="20"/>
      <c r="F215" s="20"/>
      <c r="G215" s="20"/>
      <c r="I215" s="20"/>
      <c r="J215" s="20"/>
      <c r="K215" s="20"/>
      <c r="L215" s="20"/>
      <c r="M215" s="20"/>
    </row>
    <row r="216" spans="1:13" ht="12.75">
      <c r="A216" s="7"/>
      <c r="B216" t="s">
        <v>52</v>
      </c>
      <c r="E216" s="20" t="s">
        <v>43</v>
      </c>
      <c r="F216" s="20" t="s">
        <v>13</v>
      </c>
      <c r="G216" s="32" t="s">
        <v>63</v>
      </c>
      <c r="H216" s="20" t="s">
        <v>33</v>
      </c>
      <c r="I216" s="20"/>
      <c r="J216" s="20"/>
      <c r="K216" s="20"/>
      <c r="L216" s="20"/>
      <c r="M216" s="20"/>
    </row>
    <row r="217" spans="5:13" ht="12.75">
      <c r="E217" s="20"/>
      <c r="F217" s="20"/>
      <c r="G217" s="27"/>
      <c r="H217" s="20"/>
      <c r="I217" s="20"/>
      <c r="J217" s="20"/>
      <c r="K217" s="20"/>
      <c r="L217" s="20"/>
      <c r="M217" s="20"/>
    </row>
    <row r="218" spans="5:13" ht="12.75">
      <c r="E218" s="20"/>
      <c r="F218" s="20" t="s">
        <v>13</v>
      </c>
      <c r="G218" s="45">
        <f>+G214</f>
        <v>6300</v>
      </c>
      <c r="H218" s="45">
        <f>TAN(RADIANS(H43))</f>
        <v>0.6248693519093275</v>
      </c>
      <c r="I218" s="20"/>
      <c r="J218" s="20"/>
      <c r="K218" s="20"/>
      <c r="L218" s="20"/>
      <c r="M218" s="20"/>
    </row>
    <row r="219" spans="5:13" ht="12.75">
      <c r="E219" s="20"/>
      <c r="F219" s="20"/>
      <c r="G219" s="20"/>
      <c r="H219" s="20"/>
      <c r="I219" s="20"/>
      <c r="J219" s="20"/>
      <c r="K219" s="20"/>
      <c r="L219" s="20"/>
      <c r="M219" s="20"/>
    </row>
    <row r="220" spans="5:13" ht="12.75">
      <c r="E220" s="20"/>
      <c r="F220" s="20" t="s">
        <v>13</v>
      </c>
      <c r="G220" s="45">
        <f>+G218*H218</f>
        <v>3936.676917028763</v>
      </c>
      <c r="H220" s="20"/>
      <c r="I220" s="20"/>
      <c r="J220" s="20"/>
      <c r="K220" s="20"/>
      <c r="L220" s="20"/>
      <c r="M220" s="20"/>
    </row>
    <row r="221" spans="5:13" ht="12.75">
      <c r="E221" s="20"/>
      <c r="F221" s="20"/>
      <c r="G221" s="20"/>
      <c r="H221" s="20"/>
      <c r="I221" s="20"/>
      <c r="J221" s="20"/>
      <c r="K221" s="20"/>
      <c r="L221" s="20"/>
      <c r="M221" s="20"/>
    </row>
    <row r="222" spans="1:13" ht="12.75">
      <c r="A222" s="7"/>
      <c r="B222" t="s">
        <v>41</v>
      </c>
      <c r="E222" s="20" t="s">
        <v>32</v>
      </c>
      <c r="F222" s="20" t="s">
        <v>13</v>
      </c>
      <c r="G222" s="21" t="s">
        <v>43</v>
      </c>
      <c r="H222" s="20"/>
      <c r="I222" s="20"/>
      <c r="J222" s="20"/>
      <c r="K222" s="20"/>
      <c r="L222" s="20"/>
      <c r="M222" s="20"/>
    </row>
    <row r="223" spans="5:13" ht="12.75">
      <c r="E223" s="20"/>
      <c r="F223" s="20"/>
      <c r="G223" s="20" t="s">
        <v>91</v>
      </c>
      <c r="H223" s="20"/>
      <c r="I223" s="20"/>
      <c r="J223" s="20"/>
      <c r="K223" s="20"/>
      <c r="L223" s="20"/>
      <c r="M223" s="20"/>
    </row>
    <row r="224" spans="5:13" ht="12.75">
      <c r="E224" s="20"/>
      <c r="F224" s="20"/>
      <c r="G224" s="20"/>
      <c r="H224" s="20"/>
      <c r="I224" s="20"/>
      <c r="J224" s="20"/>
      <c r="K224" s="20"/>
      <c r="L224" s="20"/>
      <c r="M224" s="20"/>
    </row>
    <row r="225" spans="5:13" ht="12.75">
      <c r="E225" s="20"/>
      <c r="F225" s="20"/>
      <c r="G225" s="68">
        <f>+G220/G178</f>
        <v>1.621707575504304</v>
      </c>
      <c r="H225" s="45" t="str">
        <f>IF(G225&gt;=I225,"≥","&lt;")</f>
        <v>≥</v>
      </c>
      <c r="I225" s="91">
        <v>1.5</v>
      </c>
      <c r="J225" s="63" t="str">
        <f>IF(G225&gt;=I225,"O.K","F")</f>
        <v>O.K</v>
      </c>
      <c r="K225" s="20"/>
      <c r="L225" s="20"/>
      <c r="M225" s="20"/>
    </row>
    <row r="226" spans="5:13" ht="12.75">
      <c r="E226" s="20"/>
      <c r="F226" s="20"/>
      <c r="G226" s="20"/>
      <c r="H226" s="20"/>
      <c r="I226" s="20"/>
      <c r="J226" s="20"/>
      <c r="K226" s="20"/>
      <c r="L226" s="20"/>
      <c r="M226" s="20"/>
    </row>
    <row r="227" spans="1:13" ht="12.75">
      <c r="A227" s="13">
        <v>4</v>
      </c>
      <c r="B227" s="8" t="s">
        <v>112</v>
      </c>
      <c r="E227" s="20"/>
      <c r="F227" s="20"/>
      <c r="G227" s="20"/>
      <c r="H227" s="20"/>
      <c r="I227" s="20"/>
      <c r="J227" s="20"/>
      <c r="K227" s="20"/>
      <c r="L227" s="20"/>
      <c r="M227" s="20"/>
    </row>
    <row r="228" spans="2:13" ht="12.75">
      <c r="B228" t="s">
        <v>65</v>
      </c>
      <c r="E228" s="20"/>
      <c r="F228" s="20"/>
      <c r="G228" s="20"/>
      <c r="H228" s="20"/>
      <c r="I228" s="20"/>
      <c r="J228" s="20"/>
      <c r="K228" s="20"/>
      <c r="L228" s="20"/>
      <c r="M228" s="20"/>
    </row>
    <row r="229" spans="5:13" ht="12.75">
      <c r="E229" s="20"/>
      <c r="F229" s="20"/>
      <c r="G229" s="20"/>
      <c r="H229" s="20"/>
      <c r="I229" s="20"/>
      <c r="J229" s="20"/>
      <c r="K229" s="20"/>
      <c r="L229" s="20"/>
      <c r="M229" s="20"/>
    </row>
    <row r="230" spans="2:13" ht="12.75">
      <c r="B230" t="s">
        <v>53</v>
      </c>
      <c r="E230" s="7" t="s">
        <v>34</v>
      </c>
      <c r="F230" s="7" t="s">
        <v>13</v>
      </c>
      <c r="G230" s="20" t="s">
        <v>80</v>
      </c>
      <c r="H230" s="20" t="s">
        <v>16</v>
      </c>
      <c r="I230" s="16" t="s">
        <v>81</v>
      </c>
      <c r="J230" s="21" t="s">
        <v>16</v>
      </c>
      <c r="K230" s="11" t="s">
        <v>82</v>
      </c>
      <c r="L230" s="20"/>
      <c r="M230" s="20"/>
    </row>
    <row r="231" spans="5:13" ht="12.75">
      <c r="E231" s="7"/>
      <c r="F231" s="7"/>
      <c r="G231" s="20"/>
      <c r="H231" s="20"/>
      <c r="I231" s="10"/>
      <c r="J231" s="17" t="s">
        <v>63</v>
      </c>
      <c r="K231" s="5"/>
      <c r="L231" s="20"/>
      <c r="M231" s="20"/>
    </row>
    <row r="232" spans="5:13" ht="12.75">
      <c r="E232" s="7"/>
      <c r="F232" s="7"/>
      <c r="G232" s="20"/>
      <c r="H232" s="20"/>
      <c r="I232" s="10"/>
      <c r="J232" s="20"/>
      <c r="K232" s="5"/>
      <c r="L232" s="20"/>
      <c r="M232" s="20"/>
    </row>
    <row r="233" spans="5:13" ht="12.75">
      <c r="E233" s="7"/>
      <c r="F233" s="7" t="s">
        <v>13</v>
      </c>
      <c r="G233" s="45">
        <f>0.5*H51</f>
        <v>3.75</v>
      </c>
      <c r="H233" s="20" t="s">
        <v>16</v>
      </c>
      <c r="I233" s="55">
        <f>(+G200-G186)/G214</f>
        <v>3.763911720503325</v>
      </c>
      <c r="J233" s="20"/>
      <c r="K233" s="5"/>
      <c r="L233" s="7"/>
      <c r="M233" s="20"/>
    </row>
    <row r="234" spans="5:13" ht="12.75">
      <c r="E234" s="7"/>
      <c r="F234" s="7"/>
      <c r="G234" s="20"/>
      <c r="H234" s="20"/>
      <c r="I234" s="10"/>
      <c r="J234" s="20"/>
      <c r="K234" s="5"/>
      <c r="L234" s="20"/>
      <c r="M234" s="20"/>
    </row>
    <row r="235" spans="5:13" ht="12.75">
      <c r="E235" s="7"/>
      <c r="F235" s="7" t="s">
        <v>13</v>
      </c>
      <c r="G235" s="6" t="s">
        <v>55</v>
      </c>
      <c r="H235" s="7" t="s">
        <v>42</v>
      </c>
      <c r="I235" s="20" t="s">
        <v>34</v>
      </c>
      <c r="J235" s="7" t="s">
        <v>42</v>
      </c>
      <c r="K235" s="6" t="s">
        <v>54</v>
      </c>
      <c r="L235" s="20"/>
      <c r="M235" s="20"/>
    </row>
    <row r="236" spans="5:13" ht="12.75">
      <c r="E236" s="7"/>
      <c r="F236" s="7"/>
      <c r="G236" s="20"/>
      <c r="H236" s="20"/>
      <c r="I236" s="10"/>
      <c r="J236" s="20"/>
      <c r="K236" s="5"/>
      <c r="L236" s="20"/>
      <c r="M236" s="20"/>
    </row>
    <row r="237" spans="5:13" ht="12.75">
      <c r="E237" s="7"/>
      <c r="F237" s="7"/>
      <c r="G237" s="54">
        <f>-H51/6</f>
        <v>-1.25</v>
      </c>
      <c r="H237" s="54" t="str">
        <f>IF(I237&gt;=G237,"≤","≥")</f>
        <v>≤</v>
      </c>
      <c r="I237" s="56">
        <f>+G233-I233</f>
        <v>-0.013911720503324787</v>
      </c>
      <c r="J237" s="54" t="str">
        <f>IF(K237&gt;=I237,"≤","≥")</f>
        <v>≤</v>
      </c>
      <c r="K237" s="48">
        <f>+H51/6</f>
        <v>1.25</v>
      </c>
      <c r="L237" s="20"/>
      <c r="M237" s="20"/>
    </row>
    <row r="238" spans="5:13" ht="12.75">
      <c r="E238" s="7"/>
      <c r="F238" s="7"/>
      <c r="G238" s="29"/>
      <c r="H238" s="62" t="str">
        <f>IF(I237&gt;=G237,"O.K","F")</f>
        <v>O.K</v>
      </c>
      <c r="I238" s="31"/>
      <c r="J238" s="62" t="str">
        <f>IF(K237&gt;=I237,"O.K","F")</f>
        <v>O.K</v>
      </c>
      <c r="K238" s="9"/>
      <c r="L238" s="20"/>
      <c r="M238" s="20"/>
    </row>
    <row r="239" spans="5:13" ht="12.75">
      <c r="E239" s="20"/>
      <c r="F239" s="20"/>
      <c r="G239" s="20"/>
      <c r="H239" s="20"/>
      <c r="I239" s="20"/>
      <c r="J239" s="20"/>
      <c r="K239" s="20"/>
      <c r="L239" s="20"/>
      <c r="M239" s="20"/>
    </row>
    <row r="240" spans="1:13" ht="12.75">
      <c r="A240" s="8">
        <v>5</v>
      </c>
      <c r="B240" s="8" t="s">
        <v>56</v>
      </c>
      <c r="E240" s="20"/>
      <c r="F240" s="20"/>
      <c r="G240" s="20"/>
      <c r="H240" s="20"/>
      <c r="I240" s="20"/>
      <c r="J240" s="20"/>
      <c r="K240" s="20"/>
      <c r="L240" s="20"/>
      <c r="M240" s="20"/>
    </row>
    <row r="241" spans="5:13" ht="12.75">
      <c r="E241" s="20"/>
      <c r="F241" s="20"/>
      <c r="G241" s="20"/>
      <c r="H241" s="20"/>
      <c r="I241" s="20"/>
      <c r="J241" s="20"/>
      <c r="K241" s="20"/>
      <c r="L241" s="20"/>
      <c r="M241" s="20"/>
    </row>
    <row r="242" spans="2:13" ht="12.75">
      <c r="B242" t="s">
        <v>64</v>
      </c>
      <c r="E242" s="20"/>
      <c r="F242" s="20"/>
      <c r="G242" s="20"/>
      <c r="H242" s="20"/>
      <c r="I242" s="20"/>
      <c r="J242" s="20"/>
      <c r="K242" s="20"/>
      <c r="L242" s="20"/>
      <c r="M242" s="20"/>
    </row>
    <row r="243" spans="5:13" ht="12.75">
      <c r="E243" s="20"/>
      <c r="F243" s="20"/>
      <c r="G243" s="20"/>
      <c r="H243" s="20"/>
      <c r="I243" s="20"/>
      <c r="J243" s="20"/>
      <c r="K243" s="20"/>
      <c r="L243" s="20"/>
      <c r="M243" s="20"/>
    </row>
    <row r="244" spans="2:13" ht="12.75">
      <c r="B244" t="s">
        <v>57</v>
      </c>
      <c r="E244" s="20" t="s">
        <v>36</v>
      </c>
      <c r="F244" s="20" t="s">
        <v>13</v>
      </c>
      <c r="G244" s="21"/>
      <c r="H244" s="28" t="s">
        <v>63</v>
      </c>
      <c r="I244" s="21"/>
      <c r="J244" s="22"/>
      <c r="K244" s="20"/>
      <c r="L244" s="20"/>
      <c r="M244" s="20"/>
    </row>
    <row r="245" spans="5:13" ht="12.75">
      <c r="E245" s="20"/>
      <c r="F245" s="20"/>
      <c r="G245" s="20" t="s">
        <v>21</v>
      </c>
      <c r="H245" s="20" t="s">
        <v>16</v>
      </c>
      <c r="I245" s="20" t="s">
        <v>69</v>
      </c>
      <c r="J245" s="20"/>
      <c r="K245" s="20"/>
      <c r="L245" s="20"/>
      <c r="M245" s="20"/>
    </row>
    <row r="246" spans="5:13" ht="12.75">
      <c r="E246" s="20"/>
      <c r="F246" s="20"/>
      <c r="G246" s="20"/>
      <c r="H246" s="20"/>
      <c r="I246" s="20"/>
      <c r="J246" s="20"/>
      <c r="K246" s="20"/>
      <c r="L246" s="20"/>
      <c r="M246" s="20"/>
    </row>
    <row r="247" spans="5:13" ht="12.75">
      <c r="E247" s="20"/>
      <c r="F247" s="20"/>
      <c r="G247" s="20"/>
      <c r="H247" s="20"/>
      <c r="I247" s="20"/>
      <c r="J247" s="20"/>
      <c r="K247" s="20"/>
      <c r="L247" s="20"/>
      <c r="M247" s="20"/>
    </row>
    <row r="248" spans="5:13" ht="12.75">
      <c r="E248" s="20"/>
      <c r="F248" s="20" t="s">
        <v>13</v>
      </c>
      <c r="G248" s="21"/>
      <c r="H248" s="57">
        <f>+G214</f>
        <v>6300</v>
      </c>
      <c r="I248" s="21"/>
      <c r="J248" s="20"/>
      <c r="K248" s="20"/>
      <c r="L248" s="20"/>
      <c r="M248" s="20"/>
    </row>
    <row r="249" spans="5:13" ht="12.75">
      <c r="E249" s="20"/>
      <c r="F249" s="20"/>
      <c r="G249" s="45">
        <f>+H51</f>
        <v>7.5</v>
      </c>
      <c r="H249" s="20" t="s">
        <v>16</v>
      </c>
      <c r="I249" s="45">
        <f>2*IF(I237&lt;0,I237*-1,+I237)</f>
        <v>0.027823441006649574</v>
      </c>
      <c r="J249" s="20"/>
      <c r="K249" s="20"/>
      <c r="L249" s="20"/>
      <c r="M249" s="20"/>
    </row>
    <row r="250" spans="5:13" ht="12.75">
      <c r="E250" s="20"/>
      <c r="F250" s="20"/>
      <c r="G250" s="20"/>
      <c r="H250" s="20"/>
      <c r="I250" s="20"/>
      <c r="J250" s="20"/>
      <c r="K250" s="20"/>
      <c r="L250" s="20"/>
      <c r="M250" s="20"/>
    </row>
    <row r="251" spans="5:13" ht="12.75">
      <c r="E251" s="20"/>
      <c r="F251" s="20" t="s">
        <v>13</v>
      </c>
      <c r="G251" s="68">
        <f>+H248/(G249-I249)</f>
        <v>843.127828988122</v>
      </c>
      <c r="H251" s="20" t="s">
        <v>37</v>
      </c>
      <c r="I251" s="45" t="str">
        <f>IF(J251&gt;=G251,"≤","&gt;")</f>
        <v>≤</v>
      </c>
      <c r="J251" s="45">
        <f>+H53</f>
        <v>1000</v>
      </c>
      <c r="K251" s="63" t="str">
        <f>IF(J251&gt;=G251,"O.K","F")</f>
        <v>O.K</v>
      </c>
      <c r="L251" s="20"/>
      <c r="M251" s="20"/>
    </row>
    <row r="252" spans="5:13" ht="12.75">
      <c r="E252" s="20"/>
      <c r="F252" s="20"/>
      <c r="G252" s="20"/>
      <c r="I252" s="61"/>
      <c r="J252" s="20"/>
      <c r="K252" s="20"/>
      <c r="L252" s="20"/>
      <c r="M252" s="20"/>
    </row>
    <row r="253" spans="5:12" ht="12.75">
      <c r="E253" s="20"/>
      <c r="F253" s="20"/>
      <c r="G253" s="20"/>
      <c r="H253" s="20"/>
      <c r="I253" s="20"/>
      <c r="J253" s="20"/>
      <c r="K253" s="20"/>
      <c r="L253" s="20"/>
    </row>
    <row r="254" spans="2:12" ht="12.75">
      <c r="B254" s="8" t="s">
        <v>142</v>
      </c>
      <c r="G254" s="5"/>
      <c r="K254" s="20"/>
      <c r="L254" s="20"/>
    </row>
    <row r="255" spans="2:10" ht="12.75">
      <c r="B255" s="8" t="s">
        <v>143</v>
      </c>
      <c r="G255" s="19"/>
      <c r="H255" s="7"/>
      <c r="I255" s="15"/>
      <c r="J255" s="7"/>
    </row>
    <row r="256" ht="12.75">
      <c r="B256" s="8" t="s">
        <v>146</v>
      </c>
    </row>
    <row r="257" ht="12.75">
      <c r="B257" s="65" t="s">
        <v>147</v>
      </c>
    </row>
    <row r="258" ht="12.75">
      <c r="B258" s="65" t="s">
        <v>153</v>
      </c>
    </row>
    <row r="259" ht="12.75">
      <c r="B259" s="65" t="s">
        <v>148</v>
      </c>
    </row>
    <row r="260" ht="12.75">
      <c r="B260" s="65" t="s">
        <v>150</v>
      </c>
    </row>
    <row r="261" ht="12.75">
      <c r="B261" s="65" t="s">
        <v>149</v>
      </c>
    </row>
  </sheetData>
  <sheetProtection password="9531" sheet="1" objects="1" scenarios="1"/>
  <mergeCells count="20">
    <mergeCell ref="I124:J124"/>
    <mergeCell ref="K123:M123"/>
    <mergeCell ref="K118:M118"/>
    <mergeCell ref="G112:H112"/>
    <mergeCell ref="G118:H118"/>
    <mergeCell ref="I118:J118"/>
    <mergeCell ref="I95:J95"/>
    <mergeCell ref="I100:J100"/>
    <mergeCell ref="I106:J106"/>
    <mergeCell ref="I112:J112"/>
    <mergeCell ref="G95:H95"/>
    <mergeCell ref="B95:C95"/>
    <mergeCell ref="B124:C124"/>
    <mergeCell ref="B118:C118"/>
    <mergeCell ref="B100:C100"/>
    <mergeCell ref="B106:C106"/>
    <mergeCell ref="B112:C112"/>
    <mergeCell ref="G100:H100"/>
    <mergeCell ref="G106:H106"/>
    <mergeCell ref="G124:H124"/>
  </mergeCells>
  <conditionalFormatting sqref="K251 H238 J238 J225 J205">
    <cfRule type="cellIs" priority="1" dxfId="0" operator="equal" stopIfTrue="1">
      <formula>"F"</formula>
    </cfRule>
  </conditionalFormatting>
  <conditionalFormatting sqref="G205">
    <cfRule type="cellIs" priority="2" dxfId="1" operator="lessThan" stopIfTrue="1">
      <formula>$I$205</formula>
    </cfRule>
  </conditionalFormatting>
  <conditionalFormatting sqref="H205 H225">
    <cfRule type="cellIs" priority="3" dxfId="0" operator="equal" stopIfTrue="1">
      <formula>"&lt;"</formula>
    </cfRule>
  </conditionalFormatting>
  <conditionalFormatting sqref="G225">
    <cfRule type="cellIs" priority="4" dxfId="1" operator="lessThan" stopIfTrue="1">
      <formula>$I$225</formula>
    </cfRule>
  </conditionalFormatting>
  <conditionalFormatting sqref="G251">
    <cfRule type="cellIs" priority="5" dxfId="1" operator="greaterThan" stopIfTrue="1">
      <formula>$J$251</formula>
    </cfRule>
  </conditionalFormatting>
  <conditionalFormatting sqref="I251">
    <cfRule type="cellIs" priority="6" dxfId="0" operator="equal" stopIfTrue="1">
      <formula>"&gt;"</formula>
    </cfRule>
  </conditionalFormatting>
  <printOptions/>
  <pageMargins left="0.25" right="0.25" top="0.25" bottom="0.25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Jackson Clip</dc:creator>
  <cp:keywords/>
  <dc:description/>
  <cp:lastModifiedBy>Jackson Clip</cp:lastModifiedBy>
  <cp:lastPrinted>2007-06-06T13:28:17Z</cp:lastPrinted>
  <dcterms:created xsi:type="dcterms:W3CDTF">2006-10-23T22:02:21Z</dcterms:created>
  <dcterms:modified xsi:type="dcterms:W3CDTF">2007-06-15T23:07:57Z</dcterms:modified>
  <cp:category/>
  <cp:version/>
  <cp:contentType/>
  <cp:contentStatus/>
</cp:coreProperties>
</file>